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24226"/>
  <xr:revisionPtr revIDLastSave="0" documentId="13_ncr:1_{CBF50DB3-CCA6-463D-9EFE-B51C23D3A261}" xr6:coauthVersionLast="44" xr6:coauthVersionMax="44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" sheetId="31" r:id="rId3"/>
    <sheet name="Лист1" sheetId="41" r:id="rId4"/>
    <sheet name="натур показатели патриотика" sheetId="39" r:id="rId5"/>
    <sheet name="патриотика" sheetId="14" r:id="rId6"/>
    <sheet name="натур показатели таланты+инициа" sheetId="40" r:id="rId7"/>
    <sheet name="таланты+инициативы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'инновации+добровольчество'!$A$206:$J$392</definedName>
    <definedName name="_xlnm._FilterDatabase" localSheetId="7" hidden="1">'таланты+инициативы'!$A$262:$J$424</definedName>
    <definedName name="_xlnm.Print_Area" localSheetId="0">затраты!$A$1:$K$24</definedName>
    <definedName name="_xlnm.Print_Area" localSheetId="2">'инновации+добровольчество'!$A$1:$J$454</definedName>
    <definedName name="_xlnm.Print_Area" localSheetId="5">патриотика!$A$1:$J$470</definedName>
    <definedName name="_xlnm.Print_Area" localSheetId="7">'таланты+инициативы'!$A$1:$J$509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3" i="31" l="1"/>
  <c r="H96" i="31"/>
  <c r="H95" i="31"/>
  <c r="H94" i="31"/>
  <c r="A89" i="31"/>
  <c r="J50" i="31"/>
  <c r="A15" i="31"/>
  <c r="A91" i="14"/>
  <c r="J45" i="14"/>
  <c r="A14" i="14"/>
  <c r="K24" i="15"/>
  <c r="E491" i="15" l="1"/>
  <c r="E492" i="15"/>
  <c r="E493" i="15"/>
  <c r="E494" i="15"/>
  <c r="E495" i="15"/>
  <c r="E496" i="15"/>
  <c r="E497" i="15"/>
  <c r="E498" i="15"/>
  <c r="E499" i="15"/>
  <c r="E500" i="15"/>
  <c r="E501" i="15"/>
  <c r="E502" i="15"/>
  <c r="E503" i="15"/>
  <c r="E504" i="15"/>
  <c r="E505" i="15"/>
  <c r="E506" i="15"/>
  <c r="E507" i="15"/>
  <c r="E508" i="15"/>
  <c r="E469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52" i="14"/>
  <c r="E453" i="14"/>
  <c r="E454" i="14"/>
  <c r="E455" i="14"/>
  <c r="E456" i="14"/>
  <c r="A237" i="14"/>
  <c r="A276" i="15" s="1"/>
  <c r="E237" i="14"/>
  <c r="E276" i="15" s="1"/>
  <c r="A238" i="14"/>
  <c r="A277" i="15" s="1"/>
  <c r="E238" i="14"/>
  <c r="E277" i="15" s="1"/>
  <c r="A228" i="14"/>
  <c r="A267" i="15" s="1"/>
  <c r="E228" i="14"/>
  <c r="E267" i="15" s="1"/>
  <c r="A226" i="14"/>
  <c r="A265" i="15" s="1"/>
  <c r="E226" i="14"/>
  <c r="E265" i="15" s="1"/>
  <c r="D328" i="38"/>
  <c r="D329" i="38"/>
  <c r="D330" i="38"/>
  <c r="D331" i="38"/>
  <c r="D332" i="38"/>
  <c r="D333" i="38"/>
  <c r="D334" i="38"/>
  <c r="D335" i="38"/>
  <c r="D336" i="38"/>
  <c r="D337" i="38"/>
  <c r="D338" i="38"/>
  <c r="D339" i="38"/>
  <c r="C113" i="38"/>
  <c r="C129" i="39" s="1"/>
  <c r="C155" i="40" s="1"/>
  <c r="D113" i="38"/>
  <c r="D129" i="39" s="1"/>
  <c r="D155" i="40" s="1"/>
  <c r="C114" i="38"/>
  <c r="C130" i="39" s="1"/>
  <c r="C156" i="40" s="1"/>
  <c r="D114" i="38"/>
  <c r="D130" i="39" s="1"/>
  <c r="D156" i="40" s="1"/>
  <c r="E114" i="38"/>
  <c r="C104" i="38"/>
  <c r="C120" i="39" s="1"/>
  <c r="C146" i="40" s="1"/>
  <c r="D104" i="38"/>
  <c r="D120" i="39" s="1"/>
  <c r="D146" i="40" s="1"/>
  <c r="D102" i="38"/>
  <c r="D118" i="39" s="1"/>
  <c r="D144" i="40" s="1"/>
  <c r="C102" i="38"/>
  <c r="C118" i="39" s="1"/>
  <c r="C144" i="40" s="1"/>
  <c r="E444" i="31"/>
  <c r="E445" i="31"/>
  <c r="E446" i="31"/>
  <c r="E447" i="31"/>
  <c r="E448" i="31"/>
  <c r="E449" i="31"/>
  <c r="E450" i="31"/>
  <c r="E451" i="31"/>
  <c r="E452" i="31"/>
  <c r="E453" i="31"/>
  <c r="A445" i="31"/>
  <c r="A461" i="14" s="1"/>
  <c r="A500" i="15" s="1"/>
  <c r="A446" i="31"/>
  <c r="A462" i="14" s="1"/>
  <c r="A501" i="15" s="1"/>
  <c r="A447" i="31"/>
  <c r="A463" i="14" s="1"/>
  <c r="A502" i="15" s="1"/>
  <c r="A448" i="31"/>
  <c r="A464" i="14" s="1"/>
  <c r="A503" i="15" s="1"/>
  <c r="A449" i="31"/>
  <c r="A465" i="14" s="1"/>
  <c r="A504" i="15" s="1"/>
  <c r="A450" i="31"/>
  <c r="A466" i="14" s="1"/>
  <c r="A505" i="15" s="1"/>
  <c r="A451" i="31"/>
  <c r="A467" i="14" s="1"/>
  <c r="A506" i="15" s="1"/>
  <c r="A452" i="31"/>
  <c r="A468" i="14" s="1"/>
  <c r="A507" i="15" s="1"/>
  <c r="A453" i="31"/>
  <c r="A469" i="14" s="1"/>
  <c r="A508" i="15" s="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E406" i="31"/>
  <c r="E407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E424" i="31"/>
  <c r="E425" i="31"/>
  <c r="E426" i="31"/>
  <c r="E427" i="31"/>
  <c r="E428" i="31"/>
  <c r="E429" i="31"/>
  <c r="E430" i="31"/>
  <c r="E431" i="31"/>
  <c r="E432" i="31"/>
  <c r="E433" i="31"/>
  <c r="E434" i="31"/>
  <c r="E435" i="31"/>
  <c r="E436" i="31"/>
  <c r="E437" i="31"/>
  <c r="E438" i="31"/>
  <c r="E439" i="31"/>
  <c r="E440" i="31"/>
  <c r="E441" i="31"/>
  <c r="E442" i="31"/>
  <c r="E443" i="31"/>
  <c r="I226" i="41"/>
  <c r="I225" i="41"/>
  <c r="I224" i="41"/>
  <c r="I223" i="41"/>
  <c r="I222" i="41"/>
  <c r="I221" i="41"/>
  <c r="I220" i="41"/>
  <c r="I219" i="41"/>
  <c r="I218" i="41"/>
  <c r="I217" i="41"/>
  <c r="I216" i="41"/>
  <c r="I215" i="41"/>
  <c r="I214" i="41"/>
  <c r="I213" i="41"/>
  <c r="I212" i="41"/>
  <c r="I211" i="41"/>
  <c r="I210" i="41"/>
  <c r="I209" i="41"/>
  <c r="I208" i="41"/>
  <c r="I207" i="41"/>
  <c r="I206" i="41"/>
  <c r="I205" i="41"/>
  <c r="I204" i="41"/>
  <c r="K203" i="41"/>
  <c r="K202" i="41"/>
  <c r="K201" i="41"/>
  <c r="K200" i="41"/>
  <c r="K199" i="41"/>
  <c r="K198" i="41"/>
  <c r="K197" i="41"/>
  <c r="K196" i="41"/>
  <c r="K195" i="41"/>
  <c r="K194" i="41"/>
  <c r="I193" i="41"/>
  <c r="I192" i="41"/>
  <c r="I191" i="41"/>
  <c r="I190" i="41"/>
  <c r="I189" i="41"/>
  <c r="I188" i="41"/>
  <c r="I187" i="41"/>
  <c r="I186" i="41"/>
  <c r="I185" i="41"/>
  <c r="I184" i="41"/>
  <c r="K183" i="41"/>
  <c r="K182" i="41"/>
  <c r="K181" i="41"/>
  <c r="K180" i="41"/>
  <c r="K179" i="41"/>
  <c r="K178" i="41"/>
  <c r="K177" i="41"/>
  <c r="K176" i="41"/>
  <c r="K175" i="41"/>
  <c r="K174" i="41"/>
  <c r="K173" i="41"/>
  <c r="K172" i="41"/>
  <c r="K171" i="41"/>
  <c r="K170" i="41"/>
  <c r="K169" i="41"/>
  <c r="K168" i="41"/>
  <c r="K167" i="41"/>
  <c r="K166" i="41"/>
  <c r="K165" i="41"/>
  <c r="K164" i="41"/>
  <c r="K163" i="41"/>
  <c r="K162" i="41"/>
  <c r="K161" i="41"/>
  <c r="K160" i="41"/>
  <c r="K159" i="41"/>
  <c r="K158" i="41"/>
  <c r="K157" i="41"/>
  <c r="K156" i="41"/>
  <c r="K155" i="41"/>
  <c r="K154" i="41"/>
  <c r="K153" i="41"/>
  <c r="K152" i="41"/>
  <c r="K151" i="41"/>
  <c r="K150" i="41"/>
  <c r="K149" i="41"/>
  <c r="K148" i="41"/>
  <c r="K147" i="41"/>
  <c r="K146" i="41"/>
  <c r="K145" i="41"/>
  <c r="K144" i="41"/>
  <c r="K143" i="41"/>
  <c r="K142" i="41"/>
  <c r="K141" i="41"/>
  <c r="K140" i="41"/>
  <c r="K139" i="41"/>
  <c r="K138" i="41"/>
  <c r="K137" i="41"/>
  <c r="K136" i="41"/>
  <c r="K135" i="41"/>
  <c r="K134" i="41"/>
  <c r="K133" i="41"/>
  <c r="K132" i="41"/>
  <c r="K131" i="41"/>
  <c r="K130" i="41"/>
  <c r="K129" i="41"/>
  <c r="K128" i="41"/>
  <c r="K127" i="41"/>
  <c r="K126" i="41"/>
  <c r="K125" i="41"/>
  <c r="K124" i="41"/>
  <c r="K123" i="41"/>
  <c r="K122" i="41"/>
  <c r="K121" i="41"/>
  <c r="K120" i="41"/>
  <c r="K119" i="41"/>
  <c r="K118" i="41"/>
  <c r="K117" i="41"/>
  <c r="I116" i="41"/>
  <c r="I115" i="41"/>
  <c r="K114" i="41"/>
  <c r="K113" i="41"/>
  <c r="K112" i="41"/>
  <c r="K111" i="41"/>
  <c r="K110" i="41"/>
  <c r="K109" i="41"/>
  <c r="K108" i="41"/>
  <c r="K107" i="41"/>
  <c r="K106" i="41"/>
  <c r="K105" i="41"/>
  <c r="K104" i="41"/>
  <c r="K103" i="41"/>
  <c r="K102" i="41"/>
  <c r="K101" i="41"/>
  <c r="K100" i="41"/>
  <c r="K99" i="41"/>
  <c r="K98" i="41"/>
  <c r="K97" i="41"/>
  <c r="K96" i="41"/>
  <c r="K95" i="41"/>
  <c r="K94" i="41"/>
  <c r="K93" i="41"/>
  <c r="K92" i="41"/>
  <c r="K91" i="41"/>
  <c r="K90" i="41"/>
  <c r="K89" i="41"/>
  <c r="K88" i="41"/>
  <c r="K87" i="41"/>
  <c r="K86" i="41"/>
  <c r="K85" i="41"/>
  <c r="K84" i="41"/>
  <c r="K83" i="41"/>
  <c r="K82" i="41"/>
  <c r="K81" i="41"/>
  <c r="K80" i="41"/>
  <c r="K79" i="41"/>
  <c r="K78" i="41"/>
  <c r="K77" i="41"/>
  <c r="K76" i="41"/>
  <c r="K75" i="41"/>
  <c r="K74" i="41"/>
  <c r="K73" i="41"/>
  <c r="K72" i="41"/>
  <c r="K71" i="41"/>
  <c r="K70" i="41"/>
  <c r="K69" i="41"/>
  <c r="K68" i="41"/>
  <c r="K67" i="41"/>
  <c r="K66" i="41"/>
  <c r="K65" i="41"/>
  <c r="K64" i="41"/>
  <c r="K63" i="41"/>
  <c r="K62" i="41"/>
  <c r="K61" i="41"/>
  <c r="I60" i="41"/>
  <c r="I59" i="41"/>
  <c r="I58" i="41"/>
  <c r="I57" i="41"/>
  <c r="I56" i="41"/>
  <c r="I55" i="41"/>
  <c r="I54" i="41"/>
  <c r="I52" i="41"/>
  <c r="K49" i="41"/>
  <c r="K48" i="41"/>
  <c r="K47" i="41"/>
  <c r="K46" i="41"/>
  <c r="K45" i="41"/>
  <c r="K44" i="41"/>
  <c r="K43" i="41"/>
  <c r="K42" i="41"/>
  <c r="K41" i="4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22" i="31"/>
  <c r="G117" i="31" l="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0" i="15"/>
  <c r="G72" i="15"/>
  <c r="G73" i="15"/>
  <c r="G74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1" i="15"/>
  <c r="G92" i="15"/>
  <c r="G93" i="15"/>
  <c r="G94" i="15"/>
  <c r="G95" i="15"/>
  <c r="G96" i="15"/>
  <c r="G98" i="15"/>
  <c r="G99" i="15"/>
  <c r="G100" i="15"/>
  <c r="G102" i="15"/>
  <c r="G103" i="15"/>
  <c r="G104" i="15"/>
  <c r="G105" i="15"/>
  <c r="G106" i="15"/>
  <c r="G107" i="15"/>
  <c r="G108" i="15"/>
  <c r="G109" i="15"/>
  <c r="G110" i="15"/>
  <c r="G111" i="15"/>
  <c r="G112" i="15"/>
  <c r="G114" i="15"/>
  <c r="G115" i="15"/>
  <c r="G116" i="15"/>
  <c r="G117" i="15"/>
  <c r="G118" i="15"/>
  <c r="G119" i="15"/>
  <c r="G120" i="15"/>
  <c r="G122" i="15"/>
  <c r="G123" i="15"/>
  <c r="G124" i="15"/>
  <c r="G125" i="15"/>
  <c r="G126" i="15"/>
  <c r="G127" i="15"/>
  <c r="G129" i="15"/>
  <c r="G130" i="15"/>
  <c r="G132" i="15"/>
  <c r="G59" i="15"/>
  <c r="G133" i="15" s="1"/>
  <c r="G57" i="14"/>
  <c r="G59" i="14"/>
  <c r="G60" i="14"/>
  <c r="G62" i="14"/>
  <c r="G63" i="14"/>
  <c r="G64" i="14"/>
  <c r="G66" i="14"/>
  <c r="G67" i="14"/>
  <c r="G68" i="14"/>
  <c r="G69" i="14"/>
  <c r="G70" i="14"/>
  <c r="G71" i="14"/>
  <c r="G73" i="14"/>
  <c r="G74" i="14"/>
  <c r="G76" i="14"/>
  <c r="G77" i="14"/>
  <c r="G78" i="14"/>
  <c r="G80" i="14"/>
  <c r="G81" i="14"/>
  <c r="G82" i="14"/>
  <c r="G84" i="14"/>
  <c r="G86" i="14"/>
  <c r="G86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D87" i="39" l="1"/>
  <c r="D88" i="39"/>
  <c r="D89" i="39"/>
  <c r="D90" i="39"/>
  <c r="D91" i="39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D327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68" i="15"/>
  <c r="E469" i="15"/>
  <c r="E470" i="15"/>
  <c r="E471" i="15"/>
  <c r="E472" i="15"/>
  <c r="E473" i="15"/>
  <c r="E474" i="15"/>
  <c r="E475" i="15"/>
  <c r="E476" i="15"/>
  <c r="E477" i="15"/>
  <c r="E478" i="15"/>
  <c r="E479" i="15"/>
  <c r="E480" i="15"/>
  <c r="E481" i="15"/>
  <c r="E482" i="15"/>
  <c r="E483" i="15"/>
  <c r="E484" i="15"/>
  <c r="E485" i="15"/>
  <c r="E486" i="15"/>
  <c r="E487" i="15"/>
  <c r="E488" i="15"/>
  <c r="E489" i="15"/>
  <c r="E490" i="15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A231" i="31"/>
  <c r="A247" i="14" s="1"/>
  <c r="A286" i="15" s="1"/>
  <c r="A232" i="31"/>
  <c r="A248" i="14" s="1"/>
  <c r="A287" i="15" s="1"/>
  <c r="A233" i="31"/>
  <c r="A249" i="14" s="1"/>
  <c r="A288" i="15" s="1"/>
  <c r="A234" i="31"/>
  <c r="A250" i="14" s="1"/>
  <c r="A289" i="15" s="1"/>
  <c r="A235" i="31"/>
  <c r="A251" i="14" s="1"/>
  <c r="A290" i="15" s="1"/>
  <c r="A236" i="31"/>
  <c r="A252" i="14" s="1"/>
  <c r="A291" i="15" s="1"/>
  <c r="A237" i="31"/>
  <c r="A253" i="14" s="1"/>
  <c r="A292" i="15" s="1"/>
  <c r="A238" i="31"/>
  <c r="A254" i="14" s="1"/>
  <c r="A293" i="15" s="1"/>
  <c r="A239" i="31"/>
  <c r="A255" i="14" s="1"/>
  <c r="A294" i="15" s="1"/>
  <c r="A240" i="31"/>
  <c r="A256" i="14" s="1"/>
  <c r="A295" i="15" s="1"/>
  <c r="A241" i="31"/>
  <c r="A257" i="14" s="1"/>
  <c r="A296" i="15" s="1"/>
  <c r="A242" i="31"/>
  <c r="A258" i="14" s="1"/>
  <c r="A297" i="15" s="1"/>
  <c r="A243" i="31"/>
  <c r="A259" i="14" s="1"/>
  <c r="A298" i="15" s="1"/>
  <c r="A244" i="31"/>
  <c r="A260" i="14" s="1"/>
  <c r="A299" i="15" s="1"/>
  <c r="A245" i="31"/>
  <c r="A261" i="14" s="1"/>
  <c r="A300" i="15" s="1"/>
  <c r="A246" i="31"/>
  <c r="A262" i="14" s="1"/>
  <c r="A301" i="15" s="1"/>
  <c r="A247" i="31"/>
  <c r="A263" i="14" s="1"/>
  <c r="A302" i="15" s="1"/>
  <c r="A248" i="31"/>
  <c r="A264" i="14" s="1"/>
  <c r="A303" i="15" s="1"/>
  <c r="A249" i="31"/>
  <c r="A265" i="14" s="1"/>
  <c r="A304" i="15" s="1"/>
  <c r="A250" i="31"/>
  <c r="A266" i="14" s="1"/>
  <c r="A305" i="15" s="1"/>
  <c r="A251" i="31"/>
  <c r="A267" i="14" s="1"/>
  <c r="A306" i="15" s="1"/>
  <c r="A252" i="31"/>
  <c r="A268" i="14" s="1"/>
  <c r="A307" i="15" s="1"/>
  <c r="A253" i="31"/>
  <c r="A269" i="14" s="1"/>
  <c r="A308" i="15" s="1"/>
  <c r="A254" i="31"/>
  <c r="A270" i="14" s="1"/>
  <c r="A309" i="15" s="1"/>
  <c r="A255" i="31"/>
  <c r="A271" i="14" s="1"/>
  <c r="A310" i="15" s="1"/>
  <c r="A256" i="31"/>
  <c r="A272" i="14" s="1"/>
  <c r="A311" i="15" s="1"/>
  <c r="A257" i="31"/>
  <c r="A273" i="14" s="1"/>
  <c r="A312" i="15" s="1"/>
  <c r="A258" i="31"/>
  <c r="A274" i="14" s="1"/>
  <c r="A313" i="15" s="1"/>
  <c r="A259" i="31"/>
  <c r="A275" i="14" s="1"/>
  <c r="A314" i="15" s="1"/>
  <c r="A260" i="31"/>
  <c r="A276" i="14" s="1"/>
  <c r="A315" i="15" s="1"/>
  <c r="A261" i="31"/>
  <c r="A277" i="14" s="1"/>
  <c r="A316" i="15" s="1"/>
  <c r="A262" i="31"/>
  <c r="A278" i="14" s="1"/>
  <c r="A317" i="15" s="1"/>
  <c r="A263" i="31"/>
  <c r="A279" i="14" s="1"/>
  <c r="A318" i="15" s="1"/>
  <c r="A264" i="31"/>
  <c r="A280" i="14" s="1"/>
  <c r="A319" i="15" s="1"/>
  <c r="A265" i="31"/>
  <c r="A281" i="14" s="1"/>
  <c r="A320" i="15" s="1"/>
  <c r="A266" i="31"/>
  <c r="A282" i="14" s="1"/>
  <c r="A321" i="15" s="1"/>
  <c r="A267" i="31"/>
  <c r="A283" i="14" s="1"/>
  <c r="A322" i="15" s="1"/>
  <c r="A268" i="31"/>
  <c r="A284" i="14" s="1"/>
  <c r="A323" i="15" s="1"/>
  <c r="A269" i="31"/>
  <c r="A285" i="14" s="1"/>
  <c r="A324" i="15" s="1"/>
  <c r="A270" i="31"/>
  <c r="A286" i="14" s="1"/>
  <c r="A325" i="15" s="1"/>
  <c r="A271" i="31"/>
  <c r="A287" i="14" s="1"/>
  <c r="A326" i="15" s="1"/>
  <c r="A272" i="31"/>
  <c r="A288" i="14" s="1"/>
  <c r="A327" i="15" s="1"/>
  <c r="A273" i="31"/>
  <c r="A289" i="14" s="1"/>
  <c r="A328" i="15" s="1"/>
  <c r="A274" i="31"/>
  <c r="A290" i="14" s="1"/>
  <c r="A329" i="15" s="1"/>
  <c r="A275" i="31"/>
  <c r="A291" i="14" s="1"/>
  <c r="A330" i="15" s="1"/>
  <c r="A276" i="31"/>
  <c r="A292" i="14" s="1"/>
  <c r="A331" i="15" s="1"/>
  <c r="A277" i="31"/>
  <c r="A293" i="14" s="1"/>
  <c r="A332" i="15" s="1"/>
  <c r="A278" i="31"/>
  <c r="A294" i="14" s="1"/>
  <c r="A333" i="15" s="1"/>
  <c r="A279" i="31"/>
  <c r="A295" i="14" s="1"/>
  <c r="A334" i="15" s="1"/>
  <c r="A280" i="31"/>
  <c r="A296" i="14" s="1"/>
  <c r="A335" i="15" s="1"/>
  <c r="A281" i="31"/>
  <c r="A297" i="14" s="1"/>
  <c r="A336" i="15" s="1"/>
  <c r="A282" i="31"/>
  <c r="A298" i="14" s="1"/>
  <c r="A337" i="15" s="1"/>
  <c r="A283" i="31"/>
  <c r="A299" i="14" s="1"/>
  <c r="A338" i="15" s="1"/>
  <c r="A284" i="31"/>
  <c r="A300" i="14" s="1"/>
  <c r="A339" i="15" s="1"/>
  <c r="A285" i="31"/>
  <c r="A301" i="14" s="1"/>
  <c r="A340" i="15" s="1"/>
  <c r="A286" i="31"/>
  <c r="A302" i="14" s="1"/>
  <c r="A341" i="15" s="1"/>
  <c r="A287" i="31"/>
  <c r="A303" i="14" s="1"/>
  <c r="A342" i="15" s="1"/>
  <c r="A288" i="31"/>
  <c r="A304" i="14" s="1"/>
  <c r="A343" i="15" s="1"/>
  <c r="A289" i="31"/>
  <c r="A305" i="14" s="1"/>
  <c r="A344" i="15" s="1"/>
  <c r="A290" i="31"/>
  <c r="A306" i="14" s="1"/>
  <c r="A345" i="15" s="1"/>
  <c r="A291" i="31"/>
  <c r="A307" i="14" s="1"/>
  <c r="A346" i="15" s="1"/>
  <c r="A292" i="31"/>
  <c r="A308" i="14" s="1"/>
  <c r="A347" i="15" s="1"/>
  <c r="A293" i="31"/>
  <c r="A309" i="14" s="1"/>
  <c r="A348" i="15" s="1"/>
  <c r="A294" i="31"/>
  <c r="A310" i="14" s="1"/>
  <c r="A349" i="15" s="1"/>
  <c r="A295" i="31"/>
  <c r="A311" i="14" s="1"/>
  <c r="A350" i="15" s="1"/>
  <c r="A296" i="31"/>
  <c r="A312" i="14" s="1"/>
  <c r="A351" i="15" s="1"/>
  <c r="A297" i="31"/>
  <c r="A313" i="14" s="1"/>
  <c r="A352" i="15" s="1"/>
  <c r="A298" i="31"/>
  <c r="A314" i="14" s="1"/>
  <c r="A353" i="15" s="1"/>
  <c r="A299" i="31"/>
  <c r="A315" i="14" s="1"/>
  <c r="A354" i="15" s="1"/>
  <c r="A300" i="31"/>
  <c r="A316" i="14" s="1"/>
  <c r="A355" i="15" s="1"/>
  <c r="A301" i="31"/>
  <c r="A317" i="14" s="1"/>
  <c r="A356" i="15" s="1"/>
  <c r="A302" i="31"/>
  <c r="A318" i="14" s="1"/>
  <c r="A357" i="15" s="1"/>
  <c r="A303" i="31"/>
  <c r="A319" i="14" s="1"/>
  <c r="A358" i="15" s="1"/>
  <c r="A304" i="31"/>
  <c r="A320" i="14" s="1"/>
  <c r="A359" i="15" s="1"/>
  <c r="A305" i="31"/>
  <c r="A321" i="14" s="1"/>
  <c r="A360" i="15" s="1"/>
  <c r="A306" i="31"/>
  <c r="A322" i="14" s="1"/>
  <c r="A361" i="15" s="1"/>
  <c r="A307" i="31"/>
  <c r="A323" i="14" s="1"/>
  <c r="A362" i="15" s="1"/>
  <c r="A308" i="31"/>
  <c r="A324" i="14" s="1"/>
  <c r="A363" i="15" s="1"/>
  <c r="A309" i="31"/>
  <c r="A325" i="14" s="1"/>
  <c r="A364" i="15" s="1"/>
  <c r="A310" i="31"/>
  <c r="A326" i="14" s="1"/>
  <c r="A365" i="15" s="1"/>
  <c r="A311" i="31"/>
  <c r="A327" i="14" s="1"/>
  <c r="A366" i="15" s="1"/>
  <c r="A312" i="31"/>
  <c r="A328" i="14" s="1"/>
  <c r="A367" i="15" s="1"/>
  <c r="A313" i="31"/>
  <c r="A329" i="14" s="1"/>
  <c r="A368" i="15" s="1"/>
  <c r="A314" i="31"/>
  <c r="A330" i="14" s="1"/>
  <c r="A369" i="15" s="1"/>
  <c r="A315" i="31"/>
  <c r="A331" i="14" s="1"/>
  <c r="A370" i="15" s="1"/>
  <c r="A316" i="31"/>
  <c r="A332" i="14" s="1"/>
  <c r="A371" i="15" s="1"/>
  <c r="A317" i="31"/>
  <c r="A333" i="14" s="1"/>
  <c r="A372" i="15" s="1"/>
  <c r="A318" i="31"/>
  <c r="A334" i="14" s="1"/>
  <c r="A373" i="15" s="1"/>
  <c r="A319" i="31"/>
  <c r="A335" i="14" s="1"/>
  <c r="A374" i="15" s="1"/>
  <c r="A320" i="31"/>
  <c r="A336" i="14" s="1"/>
  <c r="A375" i="15" s="1"/>
  <c r="A321" i="31"/>
  <c r="A337" i="14" s="1"/>
  <c r="A376" i="15" s="1"/>
  <c r="A322" i="31"/>
  <c r="A338" i="14" s="1"/>
  <c r="A377" i="15" s="1"/>
  <c r="A323" i="31"/>
  <c r="A339" i="14" s="1"/>
  <c r="A378" i="15" s="1"/>
  <c r="A324" i="31"/>
  <c r="A340" i="14" s="1"/>
  <c r="A379" i="15" s="1"/>
  <c r="A325" i="31"/>
  <c r="A341" i="14" s="1"/>
  <c r="A380" i="15" s="1"/>
  <c r="A326" i="31"/>
  <c r="A342" i="14" s="1"/>
  <c r="A381" i="15" s="1"/>
  <c r="A327" i="31"/>
  <c r="A343" i="14" s="1"/>
  <c r="A382" i="15" s="1"/>
  <c r="A328" i="31"/>
  <c r="A344" i="14" s="1"/>
  <c r="A383" i="15" s="1"/>
  <c r="A329" i="31"/>
  <c r="A345" i="14" s="1"/>
  <c r="A384" i="15" s="1"/>
  <c r="A330" i="31"/>
  <c r="A346" i="14" s="1"/>
  <c r="A385" i="15" s="1"/>
  <c r="A331" i="31"/>
  <c r="A347" i="14" s="1"/>
  <c r="A386" i="15" s="1"/>
  <c r="A332" i="31"/>
  <c r="A348" i="14" s="1"/>
  <c r="A387" i="15" s="1"/>
  <c r="A333" i="31"/>
  <c r="A349" i="14" s="1"/>
  <c r="A388" i="15" s="1"/>
  <c r="A334" i="31"/>
  <c r="A350" i="14" s="1"/>
  <c r="A389" i="15" s="1"/>
  <c r="A335" i="31"/>
  <c r="A351" i="14" s="1"/>
  <c r="A390" i="15" s="1"/>
  <c r="A336" i="31"/>
  <c r="A352" i="14" s="1"/>
  <c r="A391" i="15" s="1"/>
  <c r="A337" i="31"/>
  <c r="A353" i="14" s="1"/>
  <c r="A392" i="15" s="1"/>
  <c r="A338" i="31"/>
  <c r="A354" i="14" s="1"/>
  <c r="A393" i="15" s="1"/>
  <c r="A339" i="31"/>
  <c r="A355" i="14" s="1"/>
  <c r="A394" i="15" s="1"/>
  <c r="A340" i="31"/>
  <c r="A356" i="14" s="1"/>
  <c r="A395" i="15" s="1"/>
  <c r="A341" i="31"/>
  <c r="A357" i="14" s="1"/>
  <c r="A396" i="15" s="1"/>
  <c r="A342" i="31"/>
  <c r="A358" i="14" s="1"/>
  <c r="A397" i="15" s="1"/>
  <c r="A343" i="31"/>
  <c r="A359" i="14" s="1"/>
  <c r="A398" i="15" s="1"/>
  <c r="A344" i="31"/>
  <c r="A360" i="14" s="1"/>
  <c r="A399" i="15" s="1"/>
  <c r="A345" i="31"/>
  <c r="A361" i="14" s="1"/>
  <c r="A400" i="15" s="1"/>
  <c r="A346" i="31"/>
  <c r="A362" i="14" s="1"/>
  <c r="A401" i="15" s="1"/>
  <c r="A347" i="31"/>
  <c r="A363" i="14" s="1"/>
  <c r="A402" i="15" s="1"/>
  <c r="A348" i="31"/>
  <c r="A364" i="14" s="1"/>
  <c r="A403" i="15" s="1"/>
  <c r="A349" i="31"/>
  <c r="A365" i="14" s="1"/>
  <c r="A404" i="15" s="1"/>
  <c r="A350" i="31"/>
  <c r="A366" i="14" s="1"/>
  <c r="A405" i="15" s="1"/>
  <c r="A351" i="31"/>
  <c r="A367" i="14" s="1"/>
  <c r="A406" i="15" s="1"/>
  <c r="A352" i="31"/>
  <c r="A368" i="14" s="1"/>
  <c r="A407" i="15" s="1"/>
  <c r="A353" i="31"/>
  <c r="A369" i="14" s="1"/>
  <c r="A408" i="15" s="1"/>
  <c r="A354" i="31"/>
  <c r="A370" i="14" s="1"/>
  <c r="A409" i="15" s="1"/>
  <c r="A355" i="31"/>
  <c r="A371" i="14" s="1"/>
  <c r="A410" i="15" s="1"/>
  <c r="A356" i="31"/>
  <c r="A372" i="14" s="1"/>
  <c r="A411" i="15" s="1"/>
  <c r="A357" i="31"/>
  <c r="A373" i="14" s="1"/>
  <c r="A412" i="15" s="1"/>
  <c r="A358" i="31"/>
  <c r="A374" i="14" s="1"/>
  <c r="A413" i="15" s="1"/>
  <c r="A359" i="31"/>
  <c r="A375" i="14" s="1"/>
  <c r="A414" i="15" s="1"/>
  <c r="A360" i="31"/>
  <c r="A376" i="14" s="1"/>
  <c r="A415" i="15" s="1"/>
  <c r="A361" i="31"/>
  <c r="A377" i="14" s="1"/>
  <c r="A416" i="15" s="1"/>
  <c r="A362" i="31"/>
  <c r="A378" i="14" s="1"/>
  <c r="A417" i="15" s="1"/>
  <c r="A363" i="31"/>
  <c r="A379" i="14" s="1"/>
  <c r="A418" i="15" s="1"/>
  <c r="A364" i="31"/>
  <c r="A380" i="14" s="1"/>
  <c r="A419" i="15" s="1"/>
  <c r="A365" i="31"/>
  <c r="A381" i="14" s="1"/>
  <c r="A420" i="15" s="1"/>
  <c r="A366" i="31"/>
  <c r="A382" i="14" s="1"/>
  <c r="A421" i="15" s="1"/>
  <c r="A367" i="31"/>
  <c r="A383" i="14" s="1"/>
  <c r="A422" i="15" s="1"/>
  <c r="A368" i="31"/>
  <c r="A384" i="14" s="1"/>
  <c r="A423" i="15" s="1"/>
  <c r="A369" i="31"/>
  <c r="A385" i="14" s="1"/>
  <c r="A424" i="15" s="1"/>
  <c r="A370" i="31"/>
  <c r="A386" i="14" s="1"/>
  <c r="A425" i="15" s="1"/>
  <c r="A371" i="31"/>
  <c r="A387" i="14" s="1"/>
  <c r="A426" i="15" s="1"/>
  <c r="A372" i="31"/>
  <c r="A388" i="14" s="1"/>
  <c r="A427" i="15" s="1"/>
  <c r="A373" i="31"/>
  <c r="A389" i="14" s="1"/>
  <c r="A428" i="15" s="1"/>
  <c r="A374" i="31"/>
  <c r="A390" i="14" s="1"/>
  <c r="A429" i="15" s="1"/>
  <c r="A375" i="31"/>
  <c r="A391" i="14" s="1"/>
  <c r="A430" i="15" s="1"/>
  <c r="A376" i="31"/>
  <c r="A392" i="14" s="1"/>
  <c r="A431" i="15" s="1"/>
  <c r="A377" i="31"/>
  <c r="A393" i="14" s="1"/>
  <c r="A432" i="15" s="1"/>
  <c r="A378" i="31"/>
  <c r="A394" i="14" s="1"/>
  <c r="A433" i="15" s="1"/>
  <c r="A379" i="31"/>
  <c r="A395" i="14" s="1"/>
  <c r="A434" i="15" s="1"/>
  <c r="A380" i="31"/>
  <c r="A381" i="31"/>
  <c r="C273" i="38" s="1"/>
  <c r="C289" i="39" s="1"/>
  <c r="C315" i="40" s="1"/>
  <c r="A382" i="31"/>
  <c r="A383" i="31"/>
  <c r="C275" i="38" s="1"/>
  <c r="C291" i="39" s="1"/>
  <c r="C317" i="40" s="1"/>
  <c r="A384" i="31"/>
  <c r="A385" i="31"/>
  <c r="C277" i="38" s="1"/>
  <c r="C293" i="39" s="1"/>
  <c r="C319" i="40" s="1"/>
  <c r="A386" i="31"/>
  <c r="A387" i="31"/>
  <c r="C279" i="38" s="1"/>
  <c r="C295" i="39" s="1"/>
  <c r="C321" i="40" s="1"/>
  <c r="A388" i="31"/>
  <c r="A389" i="31"/>
  <c r="C281" i="38" s="1"/>
  <c r="C297" i="39" s="1"/>
  <c r="C323" i="40" s="1"/>
  <c r="A390" i="31"/>
  <c r="A391" i="31"/>
  <c r="C283" i="38" s="1"/>
  <c r="C299" i="39" s="1"/>
  <c r="C325" i="40" s="1"/>
  <c r="A392" i="31"/>
  <c r="A393" i="31"/>
  <c r="C285" i="38" s="1"/>
  <c r="C301" i="39" s="1"/>
  <c r="C327" i="40" s="1"/>
  <c r="A394" i="31"/>
  <c r="A395" i="31"/>
  <c r="C287" i="38" s="1"/>
  <c r="C303" i="39" s="1"/>
  <c r="C329" i="40" s="1"/>
  <c r="A396" i="31"/>
  <c r="A397" i="31"/>
  <c r="C289" i="38" s="1"/>
  <c r="C305" i="39" s="1"/>
  <c r="C331" i="40" s="1"/>
  <c r="A398" i="31"/>
  <c r="A399" i="31"/>
  <c r="C291" i="38" s="1"/>
  <c r="C307" i="39" s="1"/>
  <c r="C333" i="40" s="1"/>
  <c r="A400" i="31"/>
  <c r="A401" i="31"/>
  <c r="C293" i="38" s="1"/>
  <c r="C309" i="39" s="1"/>
  <c r="C335" i="40" s="1"/>
  <c r="A402" i="31"/>
  <c r="C294" i="38" s="1"/>
  <c r="C310" i="39" s="1"/>
  <c r="C336" i="40" s="1"/>
  <c r="A403" i="31"/>
  <c r="A419" i="14" s="1"/>
  <c r="A458" i="15" s="1"/>
  <c r="A404" i="31"/>
  <c r="C296" i="38" s="1"/>
  <c r="C312" i="39" s="1"/>
  <c r="C338" i="40" s="1"/>
  <c r="A405" i="31"/>
  <c r="C297" i="38" s="1"/>
  <c r="C313" i="39" s="1"/>
  <c r="C339" i="40" s="1"/>
  <c r="A406" i="31"/>
  <c r="C298" i="38" s="1"/>
  <c r="C314" i="39" s="1"/>
  <c r="C340" i="40" s="1"/>
  <c r="A407" i="31"/>
  <c r="A423" i="14" s="1"/>
  <c r="A462" i="15" s="1"/>
  <c r="A408" i="31"/>
  <c r="C300" i="38" s="1"/>
  <c r="C316" i="39" s="1"/>
  <c r="C342" i="40" s="1"/>
  <c r="A409" i="31"/>
  <c r="C301" i="38" s="1"/>
  <c r="C317" i="39" s="1"/>
  <c r="C343" i="40" s="1"/>
  <c r="A410" i="31"/>
  <c r="C302" i="38" s="1"/>
  <c r="C318" i="39" s="1"/>
  <c r="C344" i="40" s="1"/>
  <c r="A411" i="31"/>
  <c r="A427" i="14" s="1"/>
  <c r="A466" i="15" s="1"/>
  <c r="A412" i="31"/>
  <c r="C304" i="38" s="1"/>
  <c r="C320" i="39" s="1"/>
  <c r="C346" i="40" s="1"/>
  <c r="A413" i="31"/>
  <c r="C305" i="38" s="1"/>
  <c r="C321" i="39" s="1"/>
  <c r="C347" i="40" s="1"/>
  <c r="A414" i="31"/>
  <c r="C306" i="38" s="1"/>
  <c r="C322" i="39" s="1"/>
  <c r="C348" i="40" s="1"/>
  <c r="A415" i="31"/>
  <c r="A431" i="14" s="1"/>
  <c r="A470" i="15" s="1"/>
  <c r="A416" i="31"/>
  <c r="C308" i="38" s="1"/>
  <c r="C324" i="39" s="1"/>
  <c r="C350" i="40" s="1"/>
  <c r="A417" i="31"/>
  <c r="C309" i="38" s="1"/>
  <c r="C325" i="39" s="1"/>
  <c r="C351" i="40" s="1"/>
  <c r="A418" i="31"/>
  <c r="C310" i="38" s="1"/>
  <c r="C326" i="39" s="1"/>
  <c r="C352" i="40" s="1"/>
  <c r="A419" i="31"/>
  <c r="A435" i="14" s="1"/>
  <c r="A474" i="15" s="1"/>
  <c r="A420" i="31"/>
  <c r="C312" i="38" s="1"/>
  <c r="C328" i="39" s="1"/>
  <c r="C354" i="40" s="1"/>
  <c r="A421" i="31"/>
  <c r="C313" i="38" s="1"/>
  <c r="C329" i="39" s="1"/>
  <c r="C355" i="40" s="1"/>
  <c r="A422" i="31"/>
  <c r="C314" i="38" s="1"/>
  <c r="C330" i="39" s="1"/>
  <c r="C356" i="40" s="1"/>
  <c r="A423" i="31"/>
  <c r="A439" i="14" s="1"/>
  <c r="A478" i="15" s="1"/>
  <c r="A424" i="31"/>
  <c r="C316" i="38" s="1"/>
  <c r="C332" i="39" s="1"/>
  <c r="C358" i="40" s="1"/>
  <c r="A425" i="31"/>
  <c r="C317" i="38" s="1"/>
  <c r="C333" i="39" s="1"/>
  <c r="C359" i="40" s="1"/>
  <c r="A426" i="31"/>
  <c r="C318" i="38" s="1"/>
  <c r="C334" i="39" s="1"/>
  <c r="C360" i="40" s="1"/>
  <c r="A427" i="31"/>
  <c r="A443" i="14" s="1"/>
  <c r="A482" i="15" s="1"/>
  <c r="A428" i="31"/>
  <c r="C320" i="38" s="1"/>
  <c r="C336" i="39" s="1"/>
  <c r="C362" i="40" s="1"/>
  <c r="A429" i="31"/>
  <c r="C321" i="38" s="1"/>
  <c r="C337" i="39" s="1"/>
  <c r="C363" i="40" s="1"/>
  <c r="A430" i="31"/>
  <c r="C322" i="38" s="1"/>
  <c r="C338" i="39" s="1"/>
  <c r="C364" i="40" s="1"/>
  <c r="A431" i="31"/>
  <c r="A447" i="14" s="1"/>
  <c r="A486" i="15" s="1"/>
  <c r="A432" i="31"/>
  <c r="C324" i="38" s="1"/>
  <c r="C340" i="39" s="1"/>
  <c r="C366" i="40" s="1"/>
  <c r="A433" i="31"/>
  <c r="C325" i="38" s="1"/>
  <c r="C341" i="39" s="1"/>
  <c r="C367" i="40" s="1"/>
  <c r="A434" i="31"/>
  <c r="C326" i="38" s="1"/>
  <c r="C342" i="39" s="1"/>
  <c r="C368" i="40" s="1"/>
  <c r="A435" i="31"/>
  <c r="A451" i="14" s="1"/>
  <c r="A490" i="15" s="1"/>
  <c r="A436" i="31"/>
  <c r="A437" i="31"/>
  <c r="A438" i="31"/>
  <c r="A439" i="31"/>
  <c r="A440" i="31"/>
  <c r="A441" i="31"/>
  <c r="A457" i="14" s="1"/>
  <c r="A496" i="15" s="1"/>
  <c r="A442" i="31"/>
  <c r="A443" i="31"/>
  <c r="A444" i="31"/>
  <c r="C331" i="38"/>
  <c r="C347" i="39" s="1"/>
  <c r="C373" i="40" s="1"/>
  <c r="C332" i="38"/>
  <c r="C348" i="39" s="1"/>
  <c r="C374" i="40" s="1"/>
  <c r="C333" i="38"/>
  <c r="C349" i="39" s="1"/>
  <c r="C375" i="40" s="1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A226" i="15"/>
  <c r="A227" i="15"/>
  <c r="A228" i="15"/>
  <c r="A229" i="15"/>
  <c r="A230" i="15"/>
  <c r="A231" i="15"/>
  <c r="C91" i="40" s="1"/>
  <c r="A232" i="15"/>
  <c r="C92" i="40" s="1"/>
  <c r="A233" i="15"/>
  <c r="C93" i="40" s="1"/>
  <c r="A234" i="15"/>
  <c r="C94" i="40" s="1"/>
  <c r="A235" i="15"/>
  <c r="C95" i="40" s="1"/>
  <c r="A236" i="15"/>
  <c r="C96" i="40" s="1"/>
  <c r="A237" i="15"/>
  <c r="C97" i="40" s="1"/>
  <c r="A238" i="15"/>
  <c r="C98" i="40" s="1"/>
  <c r="A239" i="15"/>
  <c r="C99" i="40" s="1"/>
  <c r="A240" i="15"/>
  <c r="C100" i="40" s="1"/>
  <c r="A241" i="15"/>
  <c r="C101" i="40" s="1"/>
  <c r="A242" i="15"/>
  <c r="C102" i="40" s="1"/>
  <c r="A243" i="15"/>
  <c r="C103" i="40" s="1"/>
  <c r="A244" i="15"/>
  <c r="C104" i="40" s="1"/>
  <c r="A245" i="15"/>
  <c r="C105" i="40" s="1"/>
  <c r="A246" i="15"/>
  <c r="C106" i="40" s="1"/>
  <c r="A247" i="15"/>
  <c r="C107" i="40" s="1"/>
  <c r="A248" i="15"/>
  <c r="C108" i="40" s="1"/>
  <c r="A249" i="15"/>
  <c r="C109" i="40" s="1"/>
  <c r="A250" i="15"/>
  <c r="C110" i="40" s="1"/>
  <c r="A251" i="15"/>
  <c r="C111" i="40" s="1"/>
  <c r="A252" i="15"/>
  <c r="C112" i="40" s="1"/>
  <c r="A253" i="15"/>
  <c r="C113" i="40" s="1"/>
  <c r="A254" i="15"/>
  <c r="C114" i="40" s="1"/>
  <c r="A255" i="15"/>
  <c r="C115" i="40" s="1"/>
  <c r="A256" i="15"/>
  <c r="C116" i="40" s="1"/>
  <c r="A257" i="15"/>
  <c r="C117" i="40" s="1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A187" i="14"/>
  <c r="A188" i="14"/>
  <c r="A189" i="14"/>
  <c r="A190" i="14"/>
  <c r="A191" i="14"/>
  <c r="A192" i="14"/>
  <c r="C65" i="39" s="1"/>
  <c r="A193" i="14"/>
  <c r="C66" i="39" s="1"/>
  <c r="A194" i="14"/>
  <c r="C67" i="39" s="1"/>
  <c r="A195" i="14"/>
  <c r="C68" i="39" s="1"/>
  <c r="A196" i="14"/>
  <c r="C69" i="39" s="1"/>
  <c r="A197" i="14"/>
  <c r="C70" i="39" s="1"/>
  <c r="A198" i="14"/>
  <c r="C71" i="39" s="1"/>
  <c r="A199" i="14"/>
  <c r="C72" i="39" s="1"/>
  <c r="A200" i="14"/>
  <c r="C73" i="39" s="1"/>
  <c r="A201" i="14"/>
  <c r="C74" i="39" s="1"/>
  <c r="A202" i="14"/>
  <c r="C75" i="39" s="1"/>
  <c r="A203" i="14"/>
  <c r="C76" i="39" s="1"/>
  <c r="A204" i="14"/>
  <c r="C77" i="39" s="1"/>
  <c r="A205" i="14"/>
  <c r="C78" i="39" s="1"/>
  <c r="A206" i="14"/>
  <c r="C79" i="39" s="1"/>
  <c r="A207" i="14"/>
  <c r="C80" i="39" s="1"/>
  <c r="A208" i="14"/>
  <c r="C81" i="39" s="1"/>
  <c r="A209" i="14"/>
  <c r="C82" i="39" s="1"/>
  <c r="A210" i="14"/>
  <c r="C83" i="39" s="1"/>
  <c r="A211" i="14"/>
  <c r="C84" i="39" s="1"/>
  <c r="A212" i="14"/>
  <c r="C85" i="39" s="1"/>
  <c r="A213" i="14"/>
  <c r="C86" i="39" s="1"/>
  <c r="A214" i="14"/>
  <c r="C87" i="39" s="1"/>
  <c r="A215" i="14"/>
  <c r="C88" i="39" s="1"/>
  <c r="A216" i="14"/>
  <c r="C89" i="39" s="1"/>
  <c r="A217" i="14"/>
  <c r="C90" i="39" s="1"/>
  <c r="A218" i="14"/>
  <c r="C91" i="39" s="1"/>
  <c r="B171" i="31"/>
  <c r="B172" i="31"/>
  <c r="B173" i="31"/>
  <c r="B174" i="31"/>
  <c r="B175" i="31"/>
  <c r="B176" i="31"/>
  <c r="B177" i="31"/>
  <c r="B178" i="31"/>
  <c r="B179" i="31"/>
  <c r="B180" i="31"/>
  <c r="B181" i="31"/>
  <c r="B182" i="31"/>
  <c r="B183" i="31"/>
  <c r="B184" i="31"/>
  <c r="B185" i="31"/>
  <c r="B186" i="31"/>
  <c r="B187" i="31"/>
  <c r="B188" i="31"/>
  <c r="B189" i="31"/>
  <c r="B190" i="31"/>
  <c r="B191" i="31"/>
  <c r="B192" i="31"/>
  <c r="B193" i="31"/>
  <c r="B194" i="31"/>
  <c r="B195" i="31"/>
  <c r="B196" i="31"/>
  <c r="B197" i="31"/>
  <c r="B198" i="31"/>
  <c r="B199" i="31"/>
  <c r="B200" i="31"/>
  <c r="B201" i="31"/>
  <c r="B237" i="15" s="1"/>
  <c r="B202" i="31"/>
  <c r="B238" i="15" s="1"/>
  <c r="B243" i="15" s="1"/>
  <c r="B170" i="31"/>
  <c r="C329" i="38" l="1"/>
  <c r="C345" i="39" s="1"/>
  <c r="C371" i="40" s="1"/>
  <c r="A459" i="14"/>
  <c r="A498" i="15" s="1"/>
  <c r="C330" i="38"/>
  <c r="C346" i="39" s="1"/>
  <c r="C372" i="40" s="1"/>
  <c r="A460" i="14"/>
  <c r="A499" i="15" s="1"/>
  <c r="C328" i="38"/>
  <c r="C344" i="39" s="1"/>
  <c r="C370" i="40" s="1"/>
  <c r="A458" i="14"/>
  <c r="A497" i="15" s="1"/>
  <c r="A415" i="14"/>
  <c r="A454" i="15" s="1"/>
  <c r="A407" i="14"/>
  <c r="A446" i="15" s="1"/>
  <c r="A399" i="14"/>
  <c r="A438" i="15" s="1"/>
  <c r="C323" i="38"/>
  <c r="C339" i="39" s="1"/>
  <c r="C365" i="40" s="1"/>
  <c r="C315" i="38"/>
  <c r="C331" i="39" s="1"/>
  <c r="C357" i="40" s="1"/>
  <c r="C307" i="38"/>
  <c r="C323" i="39" s="1"/>
  <c r="C349" i="40" s="1"/>
  <c r="C299" i="38"/>
  <c r="C315" i="39" s="1"/>
  <c r="C341" i="40" s="1"/>
  <c r="A411" i="14"/>
  <c r="A450" i="15" s="1"/>
  <c r="A403" i="14"/>
  <c r="A442" i="15" s="1"/>
  <c r="C327" i="38"/>
  <c r="C343" i="39" s="1"/>
  <c r="C369" i="40" s="1"/>
  <c r="C319" i="38"/>
  <c r="C335" i="39" s="1"/>
  <c r="C361" i="40" s="1"/>
  <c r="C311" i="38"/>
  <c r="C327" i="39" s="1"/>
  <c r="C353" i="40" s="1"/>
  <c r="C303" i="38"/>
  <c r="C319" i="39" s="1"/>
  <c r="C345" i="40" s="1"/>
  <c r="C295" i="38"/>
  <c r="C311" i="39" s="1"/>
  <c r="C337" i="40" s="1"/>
  <c r="C292" i="38"/>
  <c r="C308" i="39" s="1"/>
  <c r="C334" i="40" s="1"/>
  <c r="A416" i="14"/>
  <c r="A455" i="15" s="1"/>
  <c r="C286" i="38"/>
  <c r="C302" i="39" s="1"/>
  <c r="C328" i="40" s="1"/>
  <c r="A410" i="14"/>
  <c r="A449" i="15" s="1"/>
  <c r="C282" i="38"/>
  <c r="C298" i="39" s="1"/>
  <c r="C324" i="40" s="1"/>
  <c r="A406" i="14"/>
  <c r="A445" i="15" s="1"/>
  <c r="C278" i="38"/>
  <c r="C294" i="39" s="1"/>
  <c r="C320" i="40" s="1"/>
  <c r="A402" i="14"/>
  <c r="A441" i="15" s="1"/>
  <c r="C272" i="38"/>
  <c r="C288" i="39" s="1"/>
  <c r="C314" i="40" s="1"/>
  <c r="A396" i="14"/>
  <c r="A435" i="15" s="1"/>
  <c r="A450" i="14"/>
  <c r="A489" i="15" s="1"/>
  <c r="A446" i="14"/>
  <c r="A485" i="15" s="1"/>
  <c r="A442" i="14"/>
  <c r="A481" i="15" s="1"/>
  <c r="A438" i="14"/>
  <c r="A477" i="15" s="1"/>
  <c r="A434" i="14"/>
  <c r="A473" i="15" s="1"/>
  <c r="A430" i="14"/>
  <c r="A469" i="15" s="1"/>
  <c r="A426" i="14"/>
  <c r="A465" i="15" s="1"/>
  <c r="A422" i="14"/>
  <c r="A461" i="15" s="1"/>
  <c r="A418" i="14"/>
  <c r="A457" i="15" s="1"/>
  <c r="C290" i="38"/>
  <c r="C306" i="39" s="1"/>
  <c r="C332" i="40" s="1"/>
  <c r="A414" i="14"/>
  <c r="A453" i="15" s="1"/>
  <c r="C288" i="38"/>
  <c r="C304" i="39" s="1"/>
  <c r="C330" i="40" s="1"/>
  <c r="A412" i="14"/>
  <c r="A451" i="15" s="1"/>
  <c r="C284" i="38"/>
  <c r="C300" i="39" s="1"/>
  <c r="C326" i="40" s="1"/>
  <c r="A408" i="14"/>
  <c r="A447" i="15" s="1"/>
  <c r="C280" i="38"/>
  <c r="C296" i="39" s="1"/>
  <c r="C322" i="40" s="1"/>
  <c r="A404" i="14"/>
  <c r="A443" i="15" s="1"/>
  <c r="C276" i="38"/>
  <c r="C292" i="39" s="1"/>
  <c r="C318" i="40" s="1"/>
  <c r="A400" i="14"/>
  <c r="A439" i="15" s="1"/>
  <c r="C274" i="38"/>
  <c r="C290" i="39" s="1"/>
  <c r="C316" i="40" s="1"/>
  <c r="A398" i="14"/>
  <c r="A437" i="15" s="1"/>
  <c r="A448" i="14"/>
  <c r="A487" i="15" s="1"/>
  <c r="A444" i="14"/>
  <c r="A483" i="15" s="1"/>
  <c r="A440" i="14"/>
  <c r="A479" i="15" s="1"/>
  <c r="A436" i="14"/>
  <c r="A475" i="15" s="1"/>
  <c r="A432" i="14"/>
  <c r="A471" i="15" s="1"/>
  <c r="A428" i="14"/>
  <c r="A467" i="15" s="1"/>
  <c r="A424" i="14"/>
  <c r="A463" i="15" s="1"/>
  <c r="A420" i="14"/>
  <c r="A459" i="15" s="1"/>
  <c r="A449" i="14"/>
  <c r="A488" i="15" s="1"/>
  <c r="A445" i="14"/>
  <c r="A484" i="15" s="1"/>
  <c r="A441" i="14"/>
  <c r="A480" i="15" s="1"/>
  <c r="A437" i="14"/>
  <c r="A476" i="15" s="1"/>
  <c r="A433" i="14"/>
  <c r="A472" i="15" s="1"/>
  <c r="A429" i="14"/>
  <c r="A468" i="15" s="1"/>
  <c r="A425" i="14"/>
  <c r="A464" i="15" s="1"/>
  <c r="A421" i="14"/>
  <c r="A460" i="15" s="1"/>
  <c r="A417" i="14"/>
  <c r="A456" i="15" s="1"/>
  <c r="A413" i="14"/>
  <c r="A452" i="15" s="1"/>
  <c r="A409" i="14"/>
  <c r="A448" i="15" s="1"/>
  <c r="A405" i="14"/>
  <c r="A444" i="15" s="1"/>
  <c r="A401" i="14"/>
  <c r="A440" i="15" s="1"/>
  <c r="A397" i="14"/>
  <c r="A436" i="15" s="1"/>
  <c r="B240" i="15"/>
  <c r="B242" i="15"/>
  <c r="B244" i="15"/>
  <c r="B239" i="15"/>
  <c r="B241" i="15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8" i="38"/>
  <c r="C98" i="38"/>
  <c r="A452" i="14"/>
  <c r="A491" i="15" s="1"/>
  <c r="A453" i="14"/>
  <c r="A492" i="15" s="1"/>
  <c r="A454" i="14"/>
  <c r="A493" i="15" s="1"/>
  <c r="A455" i="14"/>
  <c r="A494" i="15" s="1"/>
  <c r="A456" i="14"/>
  <c r="A495" i="15" s="1"/>
  <c r="C334" i="38"/>
  <c r="C350" i="39" s="1"/>
  <c r="C376" i="40" s="1"/>
  <c r="C335" i="38"/>
  <c r="C351" i="39" s="1"/>
  <c r="C377" i="40" s="1"/>
  <c r="C336" i="38"/>
  <c r="C352" i="39" s="1"/>
  <c r="C378" i="40" s="1"/>
  <c r="C337" i="38"/>
  <c r="C353" i="39" s="1"/>
  <c r="C379" i="40" s="1"/>
  <c r="C338" i="38"/>
  <c r="C354" i="39" s="1"/>
  <c r="C380" i="40" s="1"/>
  <c r="C339" i="38"/>
  <c r="C355" i="39" s="1"/>
  <c r="C381" i="40" s="1"/>
  <c r="C340" i="38"/>
  <c r="C341" i="38"/>
  <c r="C342" i="38"/>
  <c r="C343" i="38"/>
  <c r="C344" i="38"/>
  <c r="C345" i="38"/>
  <c r="E218" i="15"/>
  <c r="E217" i="15"/>
  <c r="G217" i="15" s="1"/>
  <c r="A217" i="15"/>
  <c r="E179" i="14"/>
  <c r="E178" i="14"/>
  <c r="G178" i="14" s="1"/>
  <c r="G161" i="31"/>
  <c r="G65" i="31"/>
  <c r="G87" i="31" s="1"/>
  <c r="E128" i="39" l="1"/>
  <c r="E134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3" i="38"/>
  <c r="D119" i="39" s="1"/>
  <c r="D145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0" i="38"/>
  <c r="D126" i="39" s="1"/>
  <c r="D152" i="40" s="1"/>
  <c r="D111" i="38"/>
  <c r="D127" i="39" s="1"/>
  <c r="D153" i="40" s="1"/>
  <c r="D112" i="38"/>
  <c r="D128" i="39" s="1"/>
  <c r="D154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D314" i="39" s="1"/>
  <c r="D340" i="40" s="1"/>
  <c r="D299" i="38"/>
  <c r="D315" i="39" s="1"/>
  <c r="D341" i="40" s="1"/>
  <c r="D300" i="38"/>
  <c r="D316" i="39" s="1"/>
  <c r="D342" i="40" s="1"/>
  <c r="D301" i="38"/>
  <c r="C103" i="38"/>
  <c r="C119" i="39" s="1"/>
  <c r="C145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0" i="38"/>
  <c r="C126" i="39" s="1"/>
  <c r="C152" i="40" s="1"/>
  <c r="C111" i="38"/>
  <c r="C127" i="39" s="1"/>
  <c r="C153" i="40" s="1"/>
  <c r="C112" i="38"/>
  <c r="C128" i="39" s="1"/>
  <c r="C154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119" i="38"/>
  <c r="C135" i="39" s="1"/>
  <c r="C161" i="40" s="1"/>
  <c r="C120" i="38"/>
  <c r="C136" i="39" s="1"/>
  <c r="C162" i="40" s="1"/>
  <c r="C121" i="38"/>
  <c r="C137" i="39" s="1"/>
  <c r="C163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7" i="39"/>
  <c r="D343" i="40" s="1"/>
  <c r="A284" i="15"/>
  <c r="B284" i="15"/>
  <c r="B283" i="15"/>
  <c r="A283" i="15"/>
  <c r="E245" i="14"/>
  <c r="E284" i="15" s="1"/>
  <c r="E244" i="14"/>
  <c r="B244" i="14"/>
  <c r="B245" i="14"/>
  <c r="A245" i="14"/>
  <c r="A244" i="14"/>
  <c r="E227" i="14"/>
  <c r="E266" i="15" s="1"/>
  <c r="E229" i="14"/>
  <c r="E268" i="15" s="1"/>
  <c r="E230" i="14"/>
  <c r="E269" i="15" s="1"/>
  <c r="E231" i="14"/>
  <c r="E270" i="15" s="1"/>
  <c r="E232" i="14"/>
  <c r="E271" i="15" s="1"/>
  <c r="E233" i="14"/>
  <c r="E272" i="15" s="1"/>
  <c r="E234" i="14"/>
  <c r="E273" i="15" s="1"/>
  <c r="E235" i="14"/>
  <c r="E274" i="15" s="1"/>
  <c r="E236" i="14"/>
  <c r="E275" i="15" s="1"/>
  <c r="E239" i="14"/>
  <c r="E278" i="15" s="1"/>
  <c r="E240" i="14"/>
  <c r="E279" i="15" s="1"/>
  <c r="E241" i="14"/>
  <c r="E280" i="15" s="1"/>
  <c r="E242" i="14"/>
  <c r="E281" i="15" s="1"/>
  <c r="E243" i="14"/>
  <c r="E282" i="15" s="1"/>
  <c r="E283" i="15" l="1"/>
  <c r="E285" i="15"/>
  <c r="D240" i="14"/>
  <c r="E132" i="39" s="1"/>
  <c r="E225" i="14"/>
  <c r="E264" i="15" s="1"/>
  <c r="E246" i="14"/>
  <c r="E230" i="3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239" i="38"/>
  <c r="C255" i="39" s="1"/>
  <c r="C281" i="40" s="1"/>
  <c r="C240" i="38"/>
  <c r="C256" i="39" s="1"/>
  <c r="C282" i="40" s="1"/>
  <c r="C241" i="38"/>
  <c r="C257" i="39" s="1"/>
  <c r="C283" i="40" s="1"/>
  <c r="A230" i="31"/>
  <c r="C122" i="38" s="1"/>
  <c r="C138" i="39" s="1"/>
  <c r="C164" i="40" s="1"/>
  <c r="E225" i="15"/>
  <c r="B226" i="15"/>
  <c r="B227" i="15"/>
  <c r="B228" i="15"/>
  <c r="B229" i="15"/>
  <c r="B230" i="15"/>
  <c r="B231" i="15"/>
  <c r="B232" i="15"/>
  <c r="B233" i="15"/>
  <c r="B234" i="15"/>
  <c r="B235" i="15"/>
  <c r="B236" i="15"/>
  <c r="B225" i="15"/>
  <c r="C86" i="40"/>
  <c r="C87" i="40"/>
  <c r="C88" i="40"/>
  <c r="C89" i="40"/>
  <c r="C90" i="40"/>
  <c r="A225" i="15"/>
  <c r="C85" i="40" s="1"/>
  <c r="E186" i="14"/>
  <c r="C60" i="39"/>
  <c r="C61" i="39"/>
  <c r="C62" i="39"/>
  <c r="C63" i="39"/>
  <c r="C64" i="39"/>
  <c r="A186" i="14"/>
  <c r="C59" i="39" s="1"/>
  <c r="A178" i="15"/>
  <c r="A135" i="14"/>
  <c r="B131" i="31"/>
  <c r="B135" i="14" l="1"/>
  <c r="D40" i="38"/>
  <c r="D57" i="39" s="1"/>
  <c r="D83" i="40" s="1"/>
  <c r="C271" i="38"/>
  <c r="C287" i="39" s="1"/>
  <c r="C313" i="40" s="1"/>
  <c r="C269" i="38"/>
  <c r="C285" i="39" s="1"/>
  <c r="C311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70" i="38"/>
  <c r="C286" i="39" s="1"/>
  <c r="C312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133" i="40" l="1"/>
  <c r="C134" i="40"/>
  <c r="C135" i="40"/>
  <c r="C107" i="39"/>
  <c r="C108" i="39"/>
  <c r="C109" i="39"/>
  <c r="C90" i="38"/>
  <c r="C91" i="38"/>
  <c r="C92" i="38"/>
  <c r="A227" i="14"/>
  <c r="A229" i="14"/>
  <c r="A230" i="14"/>
  <c r="A231" i="14"/>
  <c r="A232" i="14"/>
  <c r="A233" i="14"/>
  <c r="A234" i="14"/>
  <c r="A235" i="14"/>
  <c r="A236" i="14"/>
  <c r="A239" i="14"/>
  <c r="A278" i="15" s="1"/>
  <c r="A240" i="14"/>
  <c r="A279" i="15" s="1"/>
  <c r="A241" i="14"/>
  <c r="A280" i="15" s="1"/>
  <c r="A242" i="14"/>
  <c r="A281" i="15" s="1"/>
  <c r="A243" i="14"/>
  <c r="A282" i="15" s="1"/>
  <c r="A246" i="14"/>
  <c r="A285" i="15" s="1"/>
  <c r="D163" i="15" l="1"/>
  <c r="D164" i="15"/>
  <c r="D162" i="15"/>
  <c r="D108" i="14"/>
  <c r="D109" i="14"/>
  <c r="D107" i="14"/>
  <c r="G115" i="31"/>
  <c r="F185" i="15"/>
  <c r="G185" i="15" s="1"/>
  <c r="F186" i="15"/>
  <c r="G186" i="15" s="1"/>
  <c r="F184" i="15"/>
  <c r="G184" i="15" s="1"/>
  <c r="E185" i="15"/>
  <c r="E186" i="15"/>
  <c r="E184" i="15"/>
  <c r="D185" i="15"/>
  <c r="D186" i="15"/>
  <c r="D184" i="15"/>
  <c r="B185" i="15"/>
  <c r="B186" i="15"/>
  <c r="B184" i="15"/>
  <c r="F143" i="14"/>
  <c r="G143" i="14" s="1"/>
  <c r="F144" i="14"/>
  <c r="G144" i="14" s="1"/>
  <c r="F142" i="14"/>
  <c r="G142" i="14" s="1"/>
  <c r="E143" i="14"/>
  <c r="E144" i="14"/>
  <c r="E142" i="14"/>
  <c r="D143" i="14"/>
  <c r="D144" i="14"/>
  <c r="D142" i="14"/>
  <c r="B143" i="14"/>
  <c r="B144" i="14"/>
  <c r="B142" i="14"/>
  <c r="G116" i="3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10" i="15"/>
  <c r="A209" i="15"/>
  <c r="A208" i="15"/>
  <c r="A207" i="15"/>
  <c r="A206" i="15"/>
  <c r="A205" i="15"/>
  <c r="A204" i="15"/>
  <c r="A171" i="14"/>
  <c r="A170" i="14"/>
  <c r="A169" i="14"/>
  <c r="A168" i="14"/>
  <c r="A167" i="14"/>
  <c r="A166" i="14"/>
  <c r="A165" i="14"/>
  <c r="G56" i="14"/>
  <c r="G87" i="14" s="1"/>
  <c r="E174" i="15"/>
  <c r="E175" i="15"/>
  <c r="E176" i="15"/>
  <c r="E177" i="15"/>
  <c r="E173" i="15"/>
  <c r="B174" i="15"/>
  <c r="B175" i="15"/>
  <c r="B178" i="15" s="1"/>
  <c r="B176" i="15"/>
  <c r="B177" i="15"/>
  <c r="B173" i="15"/>
  <c r="A177" i="15"/>
  <c r="A176" i="15"/>
  <c r="A175" i="15"/>
  <c r="A174" i="15"/>
  <c r="A173" i="15"/>
  <c r="E131" i="14"/>
  <c r="E132" i="14"/>
  <c r="E133" i="14"/>
  <c r="E134" i="14"/>
  <c r="E130" i="14"/>
  <c r="A134" i="14"/>
  <c r="A133" i="14"/>
  <c r="A132" i="14"/>
  <c r="A131" i="14"/>
  <c r="A130" i="14"/>
  <c r="C183" i="15"/>
  <c r="D183" i="15"/>
  <c r="E183" i="15"/>
  <c r="B183" i="15"/>
  <c r="C141" i="14"/>
  <c r="D141" i="14"/>
  <c r="E141" i="14"/>
  <c r="B141" i="14"/>
  <c r="F114" i="31"/>
  <c r="F183" i="15" s="1"/>
  <c r="F49" i="15"/>
  <c r="F195" i="15" s="1"/>
  <c r="F50" i="15"/>
  <c r="F196" i="15" s="1"/>
  <c r="F51" i="15"/>
  <c r="F197" i="15" s="1"/>
  <c r="F48" i="15"/>
  <c r="F194" i="15" s="1"/>
  <c r="D49" i="15"/>
  <c r="D195" i="15" s="1"/>
  <c r="D50" i="15"/>
  <c r="D196" i="15" s="1"/>
  <c r="D51" i="15"/>
  <c r="D197" i="15" s="1"/>
  <c r="D48" i="15"/>
  <c r="D194" i="15" s="1"/>
  <c r="A51" i="15"/>
  <c r="A197" i="15" s="1"/>
  <c r="A50" i="15"/>
  <c r="A196" i="15" s="1"/>
  <c r="A49" i="15"/>
  <c r="A195" i="15" s="1"/>
  <c r="A48" i="15"/>
  <c r="A194" i="15" s="1"/>
  <c r="F46" i="14"/>
  <c r="F156" i="14" s="1"/>
  <c r="F47" i="14"/>
  <c r="F157" i="14" s="1"/>
  <c r="F48" i="14"/>
  <c r="F45" i="14"/>
  <c r="F155" i="14" s="1"/>
  <c r="D46" i="14"/>
  <c r="D156" i="14" s="1"/>
  <c r="D47" i="14"/>
  <c r="D157" i="14" s="1"/>
  <c r="D48" i="14"/>
  <c r="D158" i="14" s="1"/>
  <c r="D45" i="14"/>
  <c r="D155" i="14" s="1"/>
  <c r="A48" i="14"/>
  <c r="A158" i="14" s="1"/>
  <c r="A47" i="14"/>
  <c r="A157" i="14" s="1"/>
  <c r="A46" i="14"/>
  <c r="A156" i="14" s="1"/>
  <c r="A45" i="14"/>
  <c r="A155" i="14" s="1"/>
  <c r="F139" i="31"/>
  <c r="F140" i="31"/>
  <c r="G140" i="31" s="1"/>
  <c r="F141" i="31"/>
  <c r="G141" i="31" s="1"/>
  <c r="F138" i="31"/>
  <c r="D139" i="31"/>
  <c r="D140" i="31"/>
  <c r="D141" i="31"/>
  <c r="D138" i="31"/>
  <c r="A141" i="31"/>
  <c r="A140" i="31"/>
  <c r="A139" i="31"/>
  <c r="A138" i="31"/>
  <c r="G56" i="31"/>
  <c r="D139" i="15"/>
  <c r="A139" i="15"/>
  <c r="D9" i="15"/>
  <c r="D96" i="14"/>
  <c r="A96" i="14"/>
  <c r="D9" i="14"/>
  <c r="F14" i="31"/>
  <c r="C15" i="37" l="1"/>
  <c r="F158" i="14"/>
  <c r="D101" i="38" l="1"/>
  <c r="D117" i="39" s="1"/>
  <c r="D143" i="40" s="1"/>
  <c r="C101" i="38"/>
  <c r="C117" i="39" s="1"/>
  <c r="C143" i="40" s="1"/>
  <c r="A266" i="15" l="1"/>
  <c r="A268" i="15"/>
  <c r="A269" i="15"/>
  <c r="A270" i="15"/>
  <c r="A271" i="15"/>
  <c r="A272" i="15"/>
  <c r="A273" i="15"/>
  <c r="A274" i="15"/>
  <c r="A275" i="15"/>
  <c r="A225" i="14"/>
  <c r="A264" i="15" s="1"/>
  <c r="F141" i="14" l="1"/>
  <c r="E205" i="15"/>
  <c r="E206" i="15"/>
  <c r="E207" i="15"/>
  <c r="E208" i="15"/>
  <c r="E209" i="15"/>
  <c r="E210" i="15"/>
  <c r="E204" i="15"/>
  <c r="E166" i="14"/>
  <c r="E167" i="14"/>
  <c r="E168" i="14"/>
  <c r="E169" i="14"/>
  <c r="E170" i="14"/>
  <c r="E171" i="14"/>
  <c r="E165" i="14"/>
  <c r="F187" i="15" l="1"/>
  <c r="E107" i="31" l="1"/>
  <c r="F107" i="31" s="1"/>
  <c r="E108" i="31"/>
  <c r="F108" i="31" s="1"/>
  <c r="E109" i="14"/>
  <c r="F109" i="14" s="1"/>
  <c r="E108" i="14"/>
  <c r="F108" i="14" s="1"/>
  <c r="E162" i="15"/>
  <c r="F162" i="15" s="1"/>
  <c r="E163" i="15"/>
  <c r="F163" i="15" s="1"/>
  <c r="E164" i="15"/>
  <c r="F164" i="15" s="1"/>
  <c r="F165" i="15" l="1"/>
  <c r="D109" i="31"/>
  <c r="E106" i="31"/>
  <c r="F106" i="31" s="1"/>
  <c r="D110" i="14"/>
  <c r="E107" i="14"/>
  <c r="D165" i="15"/>
  <c r="E165" i="15"/>
  <c r="E109" i="31" l="1"/>
  <c r="F109" i="31"/>
  <c r="E110" i="14"/>
  <c r="F107" i="14"/>
  <c r="F110" i="14" s="1"/>
  <c r="B43" i="15" l="1"/>
  <c r="F13" i="14" l="1"/>
  <c r="F32" i="14"/>
  <c r="F33" i="14"/>
  <c r="F116" i="14"/>
  <c r="F117" i="14"/>
  <c r="F118" i="14"/>
  <c r="F119" i="14"/>
  <c r="F120" i="14"/>
  <c r="F34" i="14" l="1"/>
  <c r="F121" i="14"/>
  <c r="D98" i="14" l="1"/>
  <c r="D97" i="14"/>
  <c r="D99" i="14"/>
  <c r="B25" i="14"/>
  <c r="B25" i="15" s="1"/>
  <c r="B24" i="14"/>
  <c r="B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153" i="15"/>
  <c r="F152" i="15"/>
  <c r="F151" i="15"/>
  <c r="F150" i="15"/>
  <c r="F149" i="15"/>
  <c r="B153" i="15"/>
  <c r="B152" i="15"/>
  <c r="B151" i="15"/>
  <c r="E154" i="15"/>
  <c r="D154" i="15"/>
  <c r="G153" i="15"/>
  <c r="G152" i="15"/>
  <c r="G151" i="15"/>
  <c r="G150" i="15"/>
  <c r="F33" i="15"/>
  <c r="G33" i="15" s="1"/>
  <c r="F32" i="15"/>
  <c r="G32" i="15" s="1"/>
  <c r="B33" i="15"/>
  <c r="E32" i="15"/>
  <c r="G118" i="14"/>
  <c r="G117" i="14"/>
  <c r="B120" i="14"/>
  <c r="B119" i="14"/>
  <c r="B118" i="14"/>
  <c r="B117" i="14"/>
  <c r="E121" i="14"/>
  <c r="D121" i="14"/>
  <c r="G120" i="14"/>
  <c r="G119" i="14"/>
  <c r="F35" i="31"/>
  <c r="F34" i="31"/>
  <c r="B33" i="14"/>
  <c r="G32" i="14"/>
  <c r="E32" i="14"/>
  <c r="B35" i="31"/>
  <c r="B36" i="31" s="1"/>
  <c r="E34" i="31"/>
  <c r="G34" i="15" l="1"/>
  <c r="F154" i="15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150" i="15"/>
  <c r="H151" i="15"/>
  <c r="H152" i="15"/>
  <c r="H153" i="15"/>
  <c r="G149" i="15"/>
  <c r="G154" i="15" s="1"/>
  <c r="H32" i="15"/>
  <c r="H33" i="15"/>
  <c r="F34" i="15"/>
  <c r="H117" i="14"/>
  <c r="H118" i="14"/>
  <c r="H119" i="14"/>
  <c r="H120" i="14"/>
  <c r="G116" i="14"/>
  <c r="G121" i="14" s="1"/>
  <c r="B34" i="14"/>
  <c r="H32" i="14"/>
  <c r="G34" i="31"/>
  <c r="D36" i="31" l="1"/>
  <c r="D34" i="15"/>
  <c r="D34" i="14"/>
  <c r="B41" i="15"/>
  <c r="F40" i="15"/>
  <c r="B41" i="14"/>
  <c r="H149" i="15"/>
  <c r="H116" i="14"/>
  <c r="G33" i="14"/>
  <c r="G34" i="14" s="1"/>
  <c r="G35" i="31"/>
  <c r="G36" i="31" s="1"/>
  <c r="H34" i="31"/>
  <c r="F36" i="31"/>
  <c r="H33" i="14" l="1"/>
  <c r="H35" i="31"/>
  <c r="D1" i="40" l="1"/>
  <c r="D1" i="39"/>
  <c r="C141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5" i="39"/>
  <c r="C99" i="38" l="1"/>
  <c r="C89" i="38"/>
  <c r="C82" i="38" l="1"/>
  <c r="C81" i="38"/>
  <c r="C80" i="38"/>
  <c r="C79" i="38"/>
  <c r="C78" i="38"/>
  <c r="C77" i="38"/>
  <c r="C76" i="38"/>
  <c r="D25" i="14" l="1"/>
  <c r="E9" i="39" s="1"/>
  <c r="B13" i="15" l="1"/>
  <c r="B18" i="37" l="1"/>
  <c r="B10" i="37"/>
  <c r="C8" i="37"/>
  <c r="B3" i="37"/>
  <c r="D25" i="15"/>
  <c r="E25" i="15" l="1"/>
  <c r="G25" i="15" s="1"/>
  <c r="E9" i="40"/>
  <c r="D25" i="31"/>
  <c r="H25" i="31"/>
  <c r="A25" i="31"/>
  <c r="D13" i="31"/>
  <c r="D11" i="31"/>
  <c r="D24" i="15"/>
  <c r="H24" i="15"/>
  <c r="A24" i="15"/>
  <c r="D24" i="14"/>
  <c r="E10" i="39" s="1"/>
  <c r="H24" i="14"/>
  <c r="E24" i="14"/>
  <c r="G24" i="14" s="1"/>
  <c r="B13" i="14"/>
  <c r="J24" i="14" l="1"/>
  <c r="E24" i="15"/>
  <c r="G24" i="15" s="1"/>
  <c r="J24" i="15" s="1"/>
  <c r="E10" i="40"/>
  <c r="E25" i="31"/>
  <c r="G25" i="31" s="1"/>
  <c r="J25" i="31" s="1"/>
  <c r="E10" i="38"/>
  <c r="B14" i="31" l="1"/>
  <c r="A12" i="31"/>
  <c r="F13" i="15"/>
  <c r="D12" i="15"/>
  <c r="D10" i="15"/>
  <c r="A10" i="15"/>
  <c r="A25" i="15" s="1"/>
  <c r="A2" i="31"/>
  <c r="A2" i="14"/>
  <c r="H25" i="14" l="1"/>
  <c r="E25" i="14"/>
  <c r="G25" i="14" s="1"/>
  <c r="D26" i="31"/>
  <c r="E9" i="38" s="1"/>
  <c r="J25" i="14" l="1"/>
  <c r="J26" i="14" s="1"/>
  <c r="D142" i="15"/>
  <c r="D141" i="15"/>
  <c r="D140" i="15"/>
  <c r="D44" i="15" l="1"/>
  <c r="H25" i="15"/>
  <c r="J25" i="15" s="1"/>
  <c r="D49" i="31"/>
  <c r="F90" i="31" s="1"/>
  <c r="E26" i="31"/>
  <c r="G26" i="31" s="1"/>
  <c r="J26" i="31" s="1"/>
  <c r="H26" i="31"/>
  <c r="A26" i="31"/>
  <c r="D42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J27" i="31" l="1"/>
  <c r="E94" i="31"/>
  <c r="F94" i="31" s="1"/>
  <c r="E93" i="31"/>
  <c r="F93" i="31" s="1"/>
  <c r="E95" i="31"/>
  <c r="F95" i="31" s="1"/>
  <c r="E96" i="31"/>
  <c r="E87" i="38" s="1"/>
  <c r="E92" i="38" s="1"/>
  <c r="E53" i="31"/>
  <c r="E50" i="15"/>
  <c r="E48" i="15"/>
  <c r="E51" i="15"/>
  <c r="G51" i="15" s="1"/>
  <c r="E49" i="15"/>
  <c r="F92" i="14"/>
  <c r="F126" i="14" s="1"/>
  <c r="E45" i="14"/>
  <c r="E12" i="39" s="1"/>
  <c r="E86" i="38"/>
  <c r="J26" i="15"/>
  <c r="A23" i="37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35" i="15"/>
  <c r="D27" i="31"/>
  <c r="I6" i="36"/>
  <c r="G6" i="36"/>
  <c r="H6" i="36" s="1"/>
  <c r="I10" i="36"/>
  <c r="G10" i="36"/>
  <c r="H10" i="36" s="1"/>
  <c r="G7" i="36"/>
  <c r="H7" i="36" s="1"/>
  <c r="I7" i="36"/>
  <c r="E85" i="38" l="1"/>
  <c r="E90" i="38" s="1"/>
  <c r="E91" i="38" s="1"/>
  <c r="B107" i="14"/>
  <c r="D135" i="14"/>
  <c r="E84" i="38"/>
  <c r="E89" i="38" s="1"/>
  <c r="F122" i="31"/>
  <c r="D135" i="31" s="1"/>
  <c r="D131" i="31" s="1"/>
  <c r="G114" i="31"/>
  <c r="G118" i="31" s="1"/>
  <c r="E48" i="14"/>
  <c r="G48" i="14" s="1"/>
  <c r="E46" i="14"/>
  <c r="E13" i="39" s="1"/>
  <c r="E47" i="14"/>
  <c r="E14" i="39" s="1"/>
  <c r="D134" i="14"/>
  <c r="D131" i="14"/>
  <c r="D133" i="14"/>
  <c r="E55" i="39" s="1"/>
  <c r="D130" i="14"/>
  <c r="G50" i="15"/>
  <c r="E14" i="40"/>
  <c r="G48" i="15"/>
  <c r="E12" i="40"/>
  <c r="G49" i="15"/>
  <c r="E13" i="40"/>
  <c r="E99" i="14"/>
  <c r="G53" i="31"/>
  <c r="E12" i="38"/>
  <c r="G55" i="31"/>
  <c r="E14" i="38"/>
  <c r="F96" i="31"/>
  <c r="G54" i="31"/>
  <c r="E13" i="38"/>
  <c r="E96" i="14"/>
  <c r="E101" i="39" s="1"/>
  <c r="E106" i="39" s="1"/>
  <c r="E97" i="14"/>
  <c r="E102" i="39" s="1"/>
  <c r="E107" i="39" s="1"/>
  <c r="E98" i="14"/>
  <c r="E103" i="39" s="1"/>
  <c r="A8" i="37"/>
  <c r="E141" i="15"/>
  <c r="I11" i="36"/>
  <c r="G8" i="36"/>
  <c r="H8" i="36" s="1"/>
  <c r="D12" i="36"/>
  <c r="D15" i="36" s="1"/>
  <c r="G9" i="36"/>
  <c r="H9" i="36" s="1"/>
  <c r="E139" i="15"/>
  <c r="F169" i="15"/>
  <c r="E140" i="15"/>
  <c r="B162" i="15" s="1"/>
  <c r="E142" i="15"/>
  <c r="F5" i="36"/>
  <c r="E12" i="36"/>
  <c r="F135" i="14" l="1"/>
  <c r="E57" i="39"/>
  <c r="F131" i="31"/>
  <c r="E40" i="38"/>
  <c r="E130" i="40"/>
  <c r="E135" i="40" s="1"/>
  <c r="B164" i="15"/>
  <c r="E129" i="40"/>
  <c r="B163" i="15"/>
  <c r="F139" i="15"/>
  <c r="H139" i="15" s="1"/>
  <c r="E127" i="40"/>
  <c r="E132" i="40" s="1"/>
  <c r="F140" i="15"/>
  <c r="H140" i="15" s="1"/>
  <c r="E128" i="40"/>
  <c r="E133" i="40" s="1"/>
  <c r="B109" i="14"/>
  <c r="E104" i="39"/>
  <c r="E109" i="39" s="1"/>
  <c r="F134" i="14"/>
  <c r="E56" i="39"/>
  <c r="F130" i="14"/>
  <c r="E52" i="39"/>
  <c r="F131" i="14"/>
  <c r="E53" i="39"/>
  <c r="E138" i="31"/>
  <c r="E94" i="38" s="1"/>
  <c r="G57" i="31"/>
  <c r="B8" i="37" s="1"/>
  <c r="D129" i="31"/>
  <c r="D127" i="31"/>
  <c r="D130" i="31"/>
  <c r="F130" i="31" s="1"/>
  <c r="D128" i="31"/>
  <c r="D126" i="31"/>
  <c r="F126" i="31" s="1"/>
  <c r="D176" i="15"/>
  <c r="D173" i="15"/>
  <c r="F173" i="15" s="1"/>
  <c r="D177" i="15"/>
  <c r="D174" i="15"/>
  <c r="F174" i="15" s="1"/>
  <c r="G183" i="15"/>
  <c r="G187" i="15" s="1"/>
  <c r="F133" i="14"/>
  <c r="G52" i="15"/>
  <c r="B23" i="37" s="1"/>
  <c r="F98" i="14"/>
  <c r="H98" i="14" s="1"/>
  <c r="B108" i="14"/>
  <c r="F97" i="14"/>
  <c r="H97" i="14" s="1"/>
  <c r="F96" i="14"/>
  <c r="H96" i="14" s="1"/>
  <c r="F99" i="14"/>
  <c r="H99" i="14" s="1"/>
  <c r="H98" i="31"/>
  <c r="I8" i="37" s="1"/>
  <c r="F142" i="15"/>
  <c r="H142" i="15" s="1"/>
  <c r="F141" i="15"/>
  <c r="H141" i="15" s="1"/>
  <c r="D175" i="15"/>
  <c r="J47" i="31"/>
  <c r="D151" i="14"/>
  <c r="D190" i="15"/>
  <c r="D178" i="15" s="1"/>
  <c r="D144" i="31"/>
  <c r="I5" i="36"/>
  <c r="F12" i="36"/>
  <c r="I12" i="36" s="1"/>
  <c r="G5" i="36"/>
  <c r="G12" i="36" s="1"/>
  <c r="G138" i="31" l="1"/>
  <c r="F178" i="15"/>
  <c r="E83" i="40"/>
  <c r="E38" i="38"/>
  <c r="F129" i="31"/>
  <c r="F177" i="15"/>
  <c r="E82" i="40"/>
  <c r="F128" i="31"/>
  <c r="E37" i="38"/>
  <c r="F127" i="31"/>
  <c r="E36" i="38"/>
  <c r="H143" i="15"/>
  <c r="I23" i="37" s="1"/>
  <c r="E39" i="38"/>
  <c r="D154" i="31"/>
  <c r="G154" i="31" s="1"/>
  <c r="D152" i="31"/>
  <c r="D150" i="31"/>
  <c r="D148" i="31"/>
  <c r="E76" i="38" s="1"/>
  <c r="D153" i="31"/>
  <c r="D151" i="31"/>
  <c r="E79" i="38" s="1"/>
  <c r="D149" i="31"/>
  <c r="E35" i="38"/>
  <c r="E79" i="40"/>
  <c r="E196" i="15"/>
  <c r="E194" i="15"/>
  <c r="E137" i="40" s="1"/>
  <c r="E141" i="40" s="1"/>
  <c r="E197" i="15"/>
  <c r="G197" i="15" s="1"/>
  <c r="E195" i="15"/>
  <c r="E80" i="40"/>
  <c r="F175" i="15"/>
  <c r="F176" i="15"/>
  <c r="E81" i="40"/>
  <c r="E158" i="14"/>
  <c r="G158" i="14" s="1"/>
  <c r="E156" i="14"/>
  <c r="E112" i="39" s="1"/>
  <c r="E157" i="14"/>
  <c r="E155" i="14"/>
  <c r="E111" i="39" s="1"/>
  <c r="G141" i="14"/>
  <c r="G145" i="14" s="1"/>
  <c r="N7" i="37"/>
  <c r="H101" i="14"/>
  <c r="J48" i="31"/>
  <c r="J49" i="31" s="1"/>
  <c r="J52" i="31" s="1"/>
  <c r="E78" i="40"/>
  <c r="G139" i="31"/>
  <c r="G142" i="31" s="1"/>
  <c r="E95" i="38"/>
  <c r="E96" i="38"/>
  <c r="E113" i="39"/>
  <c r="D161" i="14"/>
  <c r="D200" i="15"/>
  <c r="D157" i="31"/>
  <c r="G148" i="31"/>
  <c r="H5" i="36"/>
  <c r="H12" i="36" s="1"/>
  <c r="I15" i="37" l="1"/>
  <c r="K26" i="14"/>
  <c r="F132" i="31"/>
  <c r="D8" i="37" s="1"/>
  <c r="F179" i="15"/>
  <c r="G194" i="15"/>
  <c r="G149" i="31"/>
  <c r="E77" i="38"/>
  <c r="G153" i="31"/>
  <c r="E81" i="38"/>
  <c r="G150" i="31"/>
  <c r="E78" i="38"/>
  <c r="E82" i="38"/>
  <c r="G152" i="31"/>
  <c r="E80" i="38"/>
  <c r="D171" i="14"/>
  <c r="G171" i="14" s="1"/>
  <c r="D169" i="14"/>
  <c r="D167" i="14"/>
  <c r="D165" i="14"/>
  <c r="D170" i="14"/>
  <c r="D168" i="14"/>
  <c r="D166" i="14"/>
  <c r="D174" i="14"/>
  <c r="D182" i="14" s="1"/>
  <c r="N23" i="37"/>
  <c r="K23" i="15"/>
  <c r="K25" i="15" s="1"/>
  <c r="G195" i="15"/>
  <c r="E138" i="40"/>
  <c r="G196" i="15"/>
  <c r="E139" i="40"/>
  <c r="D213" i="15"/>
  <c r="D205" i="15"/>
  <c r="D206" i="15"/>
  <c r="D207" i="15"/>
  <c r="D204" i="15"/>
  <c r="E119" i="40" s="1"/>
  <c r="D166" i="31"/>
  <c r="D162" i="31"/>
  <c r="D178" i="31" l="1"/>
  <c r="F178" i="31" s="1"/>
  <c r="D180" i="31"/>
  <c r="F180" i="31" s="1"/>
  <c r="D174" i="31"/>
  <c r="F174" i="31" s="1"/>
  <c r="D170" i="31"/>
  <c r="D173" i="31"/>
  <c r="F173" i="31" s="1"/>
  <c r="D176" i="31"/>
  <c r="F176" i="31" s="1"/>
  <c r="D182" i="31"/>
  <c r="F182" i="31" s="1"/>
  <c r="D184" i="31"/>
  <c r="D186" i="31"/>
  <c r="D188" i="31"/>
  <c r="D190" i="31"/>
  <c r="D192" i="31"/>
  <c r="D194" i="31"/>
  <c r="D196" i="31"/>
  <c r="D198" i="31"/>
  <c r="D200" i="31"/>
  <c r="D202" i="31"/>
  <c r="D177" i="31"/>
  <c r="F177" i="31" s="1"/>
  <c r="D172" i="31"/>
  <c r="F172" i="31" s="1"/>
  <c r="D181" i="31"/>
  <c r="F181" i="31" s="1"/>
  <c r="D185" i="31"/>
  <c r="D189" i="31"/>
  <c r="D193" i="31"/>
  <c r="D197" i="31"/>
  <c r="D201" i="31"/>
  <c r="D179" i="31"/>
  <c r="F179" i="31" s="1"/>
  <c r="D171" i="31"/>
  <c r="F171" i="31" s="1"/>
  <c r="D175" i="31"/>
  <c r="F175" i="31" s="1"/>
  <c r="D183" i="31"/>
  <c r="D187" i="31"/>
  <c r="D191" i="31"/>
  <c r="D195" i="31"/>
  <c r="D199" i="31"/>
  <c r="D195" i="14"/>
  <c r="E68" i="39" s="1"/>
  <c r="D193" i="14"/>
  <c r="E66" i="39" s="1"/>
  <c r="D196" i="14"/>
  <c r="E69" i="39" s="1"/>
  <c r="D194" i="14"/>
  <c r="E67" i="39" s="1"/>
  <c r="D190" i="14"/>
  <c r="A205" i="31"/>
  <c r="D191" i="14"/>
  <c r="D188" i="14"/>
  <c r="E61" i="39" s="1"/>
  <c r="D186" i="14"/>
  <c r="D192" i="14"/>
  <c r="D189" i="14"/>
  <c r="D187" i="14"/>
  <c r="G207" i="15"/>
  <c r="E122" i="40"/>
  <c r="G205" i="15"/>
  <c r="E120" i="40"/>
  <c r="G206" i="15"/>
  <c r="E121" i="40"/>
  <c r="G168" i="14"/>
  <c r="E96" i="39"/>
  <c r="G165" i="14"/>
  <c r="E93" i="39"/>
  <c r="G169" i="14"/>
  <c r="E97" i="39"/>
  <c r="G166" i="14"/>
  <c r="E94" i="39"/>
  <c r="G170" i="14"/>
  <c r="E98" i="39"/>
  <c r="G167" i="14"/>
  <c r="E95" i="39"/>
  <c r="E99" i="39"/>
  <c r="A221" i="14"/>
  <c r="G198" i="15"/>
  <c r="G155" i="31"/>
  <c r="G8" i="37" s="1"/>
  <c r="G204" i="15"/>
  <c r="D209" i="15"/>
  <c r="D208" i="15"/>
  <c r="D210" i="15"/>
  <c r="G210" i="15" s="1"/>
  <c r="G162" i="31"/>
  <c r="E99" i="38"/>
  <c r="D221" i="15"/>
  <c r="D218" i="15"/>
  <c r="G218" i="15" s="1"/>
  <c r="D458" i="14" l="1"/>
  <c r="D460" i="14"/>
  <c r="D462" i="14"/>
  <c r="D464" i="14"/>
  <c r="F464" i="14" s="1"/>
  <c r="D466" i="14"/>
  <c r="F466" i="14" s="1"/>
  <c r="D468" i="14"/>
  <c r="F468" i="14" s="1"/>
  <c r="D469" i="14"/>
  <c r="F469" i="14" s="1"/>
  <c r="D457" i="14"/>
  <c r="D459" i="14"/>
  <c r="D461" i="14"/>
  <c r="D463" i="14"/>
  <c r="D465" i="14"/>
  <c r="F465" i="14" s="1"/>
  <c r="D467" i="14"/>
  <c r="F467" i="14" s="1"/>
  <c r="D453" i="14"/>
  <c r="D455" i="14"/>
  <c r="D235" i="14"/>
  <c r="D225" i="14"/>
  <c r="D237" i="14"/>
  <c r="D228" i="14"/>
  <c r="D226" i="14"/>
  <c r="D452" i="14"/>
  <c r="D454" i="14"/>
  <c r="D456" i="14"/>
  <c r="D229" i="14"/>
  <c r="D238" i="14"/>
  <c r="D445" i="31"/>
  <c r="D447" i="31"/>
  <c r="D449" i="31"/>
  <c r="F449" i="31" s="1"/>
  <c r="D451" i="31"/>
  <c r="F451" i="31" s="1"/>
  <c r="D453" i="31"/>
  <c r="F453" i="31" s="1"/>
  <c r="D446" i="31"/>
  <c r="D448" i="31"/>
  <c r="F448" i="31" s="1"/>
  <c r="D450" i="31"/>
  <c r="F450" i="31" s="1"/>
  <c r="D452" i="31"/>
  <c r="F452" i="31" s="1"/>
  <c r="D437" i="31"/>
  <c r="D439" i="31"/>
  <c r="D441" i="31"/>
  <c r="D443" i="31"/>
  <c r="D438" i="31"/>
  <c r="D440" i="31"/>
  <c r="D442" i="31"/>
  <c r="D444" i="31"/>
  <c r="D436" i="31"/>
  <c r="D219" i="31"/>
  <c r="D209" i="31"/>
  <c r="D213" i="31"/>
  <c r="D212" i="31"/>
  <c r="D210" i="31"/>
  <c r="D248" i="14"/>
  <c r="E140" i="39" s="1"/>
  <c r="D250" i="14"/>
  <c r="E142" i="39" s="1"/>
  <c r="D252" i="14"/>
  <c r="E144" i="39" s="1"/>
  <c r="D254" i="14"/>
  <c r="E146" i="39" s="1"/>
  <c r="D256" i="14"/>
  <c r="E148" i="39" s="1"/>
  <c r="D258" i="14"/>
  <c r="E150" i="39" s="1"/>
  <c r="D260" i="14"/>
  <c r="E152" i="39" s="1"/>
  <c r="D262" i="14"/>
  <c r="E154" i="39" s="1"/>
  <c r="D264" i="14"/>
  <c r="E156" i="39" s="1"/>
  <c r="D266" i="14"/>
  <c r="E158" i="39" s="1"/>
  <c r="D268" i="14"/>
  <c r="E160" i="39" s="1"/>
  <c r="D270" i="14"/>
  <c r="E162" i="39" s="1"/>
  <c r="D272" i="14"/>
  <c r="E164" i="39" s="1"/>
  <c r="D274" i="14"/>
  <c r="E166" i="39" s="1"/>
  <c r="D276" i="14"/>
  <c r="E168" i="39" s="1"/>
  <c r="D278" i="14"/>
  <c r="E170" i="39" s="1"/>
  <c r="D280" i="14"/>
  <c r="E172" i="39" s="1"/>
  <c r="D282" i="14"/>
  <c r="E174" i="39" s="1"/>
  <c r="D284" i="14"/>
  <c r="E176" i="39" s="1"/>
  <c r="D286" i="14"/>
  <c r="E178" i="39" s="1"/>
  <c r="D288" i="14"/>
  <c r="E180" i="39" s="1"/>
  <c r="D290" i="14"/>
  <c r="E182" i="39" s="1"/>
  <c r="D292" i="14"/>
  <c r="E184" i="39" s="1"/>
  <c r="D294" i="14"/>
  <c r="E186" i="39" s="1"/>
  <c r="D296" i="14"/>
  <c r="E188" i="39" s="1"/>
  <c r="D298" i="14"/>
  <c r="E190" i="39" s="1"/>
  <c r="D300" i="14"/>
  <c r="E192" i="39" s="1"/>
  <c r="D302" i="14"/>
  <c r="E194" i="39" s="1"/>
  <c r="D304" i="14"/>
  <c r="E196" i="39" s="1"/>
  <c r="D306" i="14"/>
  <c r="E198" i="39" s="1"/>
  <c r="D308" i="14"/>
  <c r="E200" i="39" s="1"/>
  <c r="D310" i="14"/>
  <c r="E202" i="39" s="1"/>
  <c r="D312" i="14"/>
  <c r="E204" i="39" s="1"/>
  <c r="D314" i="14"/>
  <c r="E206" i="39" s="1"/>
  <c r="D316" i="14"/>
  <c r="E208" i="39" s="1"/>
  <c r="D318" i="14"/>
  <c r="E210" i="39" s="1"/>
  <c r="D320" i="14"/>
  <c r="E212" i="39" s="1"/>
  <c r="D322" i="14"/>
  <c r="E214" i="39" s="1"/>
  <c r="D324" i="14"/>
  <c r="E216" i="39" s="1"/>
  <c r="D326" i="14"/>
  <c r="E218" i="39" s="1"/>
  <c r="D328" i="14"/>
  <c r="E220" i="39" s="1"/>
  <c r="D330" i="14"/>
  <c r="E222" i="39" s="1"/>
  <c r="D332" i="14"/>
  <c r="E224" i="39" s="1"/>
  <c r="D334" i="14"/>
  <c r="E226" i="39" s="1"/>
  <c r="D336" i="14"/>
  <c r="E228" i="39" s="1"/>
  <c r="D338" i="14"/>
  <c r="E230" i="39" s="1"/>
  <c r="D340" i="14"/>
  <c r="E232" i="39" s="1"/>
  <c r="D342" i="14"/>
  <c r="E234" i="39" s="1"/>
  <c r="D344" i="14"/>
  <c r="E236" i="39" s="1"/>
  <c r="D346" i="14"/>
  <c r="E238" i="39" s="1"/>
  <c r="D348" i="14"/>
  <c r="E240" i="39" s="1"/>
  <c r="D350" i="14"/>
  <c r="E242" i="39" s="1"/>
  <c r="D352" i="14"/>
  <c r="E244" i="39" s="1"/>
  <c r="D354" i="14"/>
  <c r="E246" i="39" s="1"/>
  <c r="D356" i="14"/>
  <c r="E248" i="39" s="1"/>
  <c r="D358" i="14"/>
  <c r="E250" i="39" s="1"/>
  <c r="D360" i="14"/>
  <c r="E252" i="39" s="1"/>
  <c r="D362" i="14"/>
  <c r="E254" i="39" s="1"/>
  <c r="D364" i="14"/>
  <c r="E256" i="39" s="1"/>
  <c r="D366" i="14"/>
  <c r="E258" i="39" s="1"/>
  <c r="D368" i="14"/>
  <c r="E260" i="39" s="1"/>
  <c r="D370" i="14"/>
  <c r="E262" i="39" s="1"/>
  <c r="D372" i="14"/>
  <c r="E264" i="39" s="1"/>
  <c r="D374" i="14"/>
  <c r="E266" i="39" s="1"/>
  <c r="D376" i="14"/>
  <c r="E268" i="39" s="1"/>
  <c r="D378" i="14"/>
  <c r="E270" i="39" s="1"/>
  <c r="D380" i="14"/>
  <c r="E272" i="39" s="1"/>
  <c r="D382" i="14"/>
  <c r="E274" i="39" s="1"/>
  <c r="D384" i="14"/>
  <c r="E276" i="39" s="1"/>
  <c r="D386" i="14"/>
  <c r="E278" i="39" s="1"/>
  <c r="D388" i="14"/>
  <c r="E280" i="39" s="1"/>
  <c r="D390" i="14"/>
  <c r="E282" i="39" s="1"/>
  <c r="D247" i="14"/>
  <c r="E139" i="39" s="1"/>
  <c r="D249" i="14"/>
  <c r="E141" i="39" s="1"/>
  <c r="D251" i="14"/>
  <c r="E143" i="39" s="1"/>
  <c r="D253" i="14"/>
  <c r="E145" i="39" s="1"/>
  <c r="D255" i="14"/>
  <c r="E147" i="39" s="1"/>
  <c r="D257" i="14"/>
  <c r="E149" i="39" s="1"/>
  <c r="D259" i="14"/>
  <c r="E151" i="39" s="1"/>
  <c r="D261" i="14"/>
  <c r="E153" i="39" s="1"/>
  <c r="D263" i="14"/>
  <c r="E155" i="39" s="1"/>
  <c r="D265" i="14"/>
  <c r="E157" i="39" s="1"/>
  <c r="D267" i="14"/>
  <c r="E159" i="39" s="1"/>
  <c r="D269" i="14"/>
  <c r="E161" i="39" s="1"/>
  <c r="D271" i="14"/>
  <c r="E163" i="39" s="1"/>
  <c r="D273" i="14"/>
  <c r="E165" i="39" s="1"/>
  <c r="D275" i="14"/>
  <c r="E167" i="39" s="1"/>
  <c r="D277" i="14"/>
  <c r="E169" i="39" s="1"/>
  <c r="D279" i="14"/>
  <c r="E171" i="39" s="1"/>
  <c r="D281" i="14"/>
  <c r="E173" i="39" s="1"/>
  <c r="D283" i="14"/>
  <c r="E175" i="39" s="1"/>
  <c r="D285" i="14"/>
  <c r="E177" i="39" s="1"/>
  <c r="D287" i="14"/>
  <c r="E179" i="39" s="1"/>
  <c r="D289" i="14"/>
  <c r="E181" i="39" s="1"/>
  <c r="D291" i="14"/>
  <c r="E183" i="39" s="1"/>
  <c r="D293" i="14"/>
  <c r="E185" i="39" s="1"/>
  <c r="D295" i="14"/>
  <c r="E187" i="39" s="1"/>
  <c r="D297" i="14"/>
  <c r="E189" i="39" s="1"/>
  <c r="D299" i="14"/>
  <c r="E191" i="39" s="1"/>
  <c r="D301" i="14"/>
  <c r="E193" i="39" s="1"/>
  <c r="D303" i="14"/>
  <c r="E195" i="39" s="1"/>
  <c r="D305" i="14"/>
  <c r="E197" i="39" s="1"/>
  <c r="D307" i="14"/>
  <c r="E199" i="39" s="1"/>
  <c r="D309" i="14"/>
  <c r="E201" i="39" s="1"/>
  <c r="D311" i="14"/>
  <c r="E203" i="39" s="1"/>
  <c r="D313" i="14"/>
  <c r="E205" i="39" s="1"/>
  <c r="D315" i="14"/>
  <c r="E207" i="39" s="1"/>
  <c r="D317" i="14"/>
  <c r="E209" i="39" s="1"/>
  <c r="D319" i="14"/>
  <c r="E211" i="39" s="1"/>
  <c r="D321" i="14"/>
  <c r="E213" i="39" s="1"/>
  <c r="D323" i="14"/>
  <c r="E215" i="39" s="1"/>
  <c r="D325" i="14"/>
  <c r="E217" i="39" s="1"/>
  <c r="D327" i="14"/>
  <c r="E219" i="39" s="1"/>
  <c r="D329" i="14"/>
  <c r="E221" i="39" s="1"/>
  <c r="D331" i="14"/>
  <c r="E223" i="39" s="1"/>
  <c r="D333" i="14"/>
  <c r="E225" i="39" s="1"/>
  <c r="D335" i="14"/>
  <c r="E227" i="39" s="1"/>
  <c r="D337" i="14"/>
  <c r="E229" i="39" s="1"/>
  <c r="D339" i="14"/>
  <c r="E231" i="39" s="1"/>
  <c r="D341" i="14"/>
  <c r="E233" i="39" s="1"/>
  <c r="D343" i="14"/>
  <c r="E235" i="39" s="1"/>
  <c r="D345" i="14"/>
  <c r="E237" i="39" s="1"/>
  <c r="D347" i="14"/>
  <c r="E239" i="39" s="1"/>
  <c r="D349" i="14"/>
  <c r="E241" i="39" s="1"/>
  <c r="D351" i="14"/>
  <c r="E243" i="39" s="1"/>
  <c r="D353" i="14"/>
  <c r="E245" i="39" s="1"/>
  <c r="D355" i="14"/>
  <c r="E247" i="39" s="1"/>
  <c r="D357" i="14"/>
  <c r="E249" i="39" s="1"/>
  <c r="D359" i="14"/>
  <c r="E251" i="39" s="1"/>
  <c r="D361" i="14"/>
  <c r="E253" i="39" s="1"/>
  <c r="D363" i="14"/>
  <c r="E255" i="39" s="1"/>
  <c r="D365" i="14"/>
  <c r="E257" i="39" s="1"/>
  <c r="D367" i="14"/>
  <c r="E259" i="39" s="1"/>
  <c r="D369" i="14"/>
  <c r="E261" i="39" s="1"/>
  <c r="D371" i="14"/>
  <c r="E263" i="39" s="1"/>
  <c r="D373" i="14"/>
  <c r="E265" i="39" s="1"/>
  <c r="D375" i="14"/>
  <c r="E267" i="39" s="1"/>
  <c r="D377" i="14"/>
  <c r="E269" i="39" s="1"/>
  <c r="D379" i="14"/>
  <c r="E271" i="39" s="1"/>
  <c r="D381" i="14"/>
  <c r="E273" i="39" s="1"/>
  <c r="D383" i="14"/>
  <c r="E275" i="39" s="1"/>
  <c r="D385" i="14"/>
  <c r="E277" i="39" s="1"/>
  <c r="D387" i="14"/>
  <c r="E279" i="39" s="1"/>
  <c r="D389" i="14"/>
  <c r="E281" i="39" s="1"/>
  <c r="D392" i="14"/>
  <c r="E284" i="39" s="1"/>
  <c r="D394" i="14"/>
  <c r="E286" i="39" s="1"/>
  <c r="D396" i="14"/>
  <c r="E288" i="39" s="1"/>
  <c r="D398" i="14"/>
  <c r="E290" i="39" s="1"/>
  <c r="D400" i="14"/>
  <c r="E292" i="39" s="1"/>
  <c r="D402" i="14"/>
  <c r="E294" i="39" s="1"/>
  <c r="D404" i="14"/>
  <c r="E296" i="39" s="1"/>
  <c r="D406" i="14"/>
  <c r="E298" i="39" s="1"/>
  <c r="D408" i="14"/>
  <c r="E300" i="39" s="1"/>
  <c r="D410" i="14"/>
  <c r="E302" i="39" s="1"/>
  <c r="D412" i="14"/>
  <c r="E304" i="39" s="1"/>
  <c r="D414" i="14"/>
  <c r="E306" i="39" s="1"/>
  <c r="D416" i="14"/>
  <c r="E308" i="39" s="1"/>
  <c r="D418" i="14"/>
  <c r="E310" i="39" s="1"/>
  <c r="D420" i="14"/>
  <c r="E312" i="39" s="1"/>
  <c r="D422" i="14"/>
  <c r="E314" i="39" s="1"/>
  <c r="D424" i="14"/>
  <c r="E316" i="39" s="1"/>
  <c r="D426" i="14"/>
  <c r="E318" i="39" s="1"/>
  <c r="D428" i="14"/>
  <c r="E320" i="39" s="1"/>
  <c r="D430" i="14"/>
  <c r="E322" i="39" s="1"/>
  <c r="D432" i="14"/>
  <c r="E324" i="39" s="1"/>
  <c r="D434" i="14"/>
  <c r="E326" i="39" s="1"/>
  <c r="D436" i="14"/>
  <c r="E328" i="39" s="1"/>
  <c r="D438" i="14"/>
  <c r="E330" i="39" s="1"/>
  <c r="D440" i="14"/>
  <c r="E332" i="39" s="1"/>
  <c r="D442" i="14"/>
  <c r="D444" i="14"/>
  <c r="D446" i="14"/>
  <c r="D448" i="14"/>
  <c r="D450" i="14"/>
  <c r="D391" i="14"/>
  <c r="E283" i="39" s="1"/>
  <c r="D393" i="14"/>
  <c r="E285" i="39" s="1"/>
  <c r="D395" i="14"/>
  <c r="E287" i="39" s="1"/>
  <c r="D397" i="14"/>
  <c r="E289" i="39" s="1"/>
  <c r="D399" i="14"/>
  <c r="E291" i="39" s="1"/>
  <c r="D401" i="14"/>
  <c r="E293" i="39" s="1"/>
  <c r="D403" i="14"/>
  <c r="E295" i="39" s="1"/>
  <c r="D405" i="14"/>
  <c r="E297" i="39" s="1"/>
  <c r="D407" i="14"/>
  <c r="E299" i="39" s="1"/>
  <c r="D409" i="14"/>
  <c r="E301" i="39" s="1"/>
  <c r="D411" i="14"/>
  <c r="E303" i="39" s="1"/>
  <c r="D413" i="14"/>
  <c r="E305" i="39" s="1"/>
  <c r="D415" i="14"/>
  <c r="E307" i="39" s="1"/>
  <c r="D417" i="14"/>
  <c r="E309" i="39" s="1"/>
  <c r="D419" i="14"/>
  <c r="E311" i="39" s="1"/>
  <c r="D421" i="14"/>
  <c r="E313" i="39" s="1"/>
  <c r="D423" i="14"/>
  <c r="E315" i="39" s="1"/>
  <c r="D425" i="14"/>
  <c r="E317" i="39" s="1"/>
  <c r="D427" i="14"/>
  <c r="E319" i="39" s="1"/>
  <c r="D429" i="14"/>
  <c r="E321" i="39" s="1"/>
  <c r="D431" i="14"/>
  <c r="E323" i="39" s="1"/>
  <c r="D433" i="14"/>
  <c r="E325" i="39" s="1"/>
  <c r="D435" i="14"/>
  <c r="E327" i="39" s="1"/>
  <c r="D437" i="14"/>
  <c r="E329" i="39" s="1"/>
  <c r="D439" i="14"/>
  <c r="E331" i="39" s="1"/>
  <c r="D441" i="14"/>
  <c r="D443" i="14"/>
  <c r="D445" i="14"/>
  <c r="D447" i="14"/>
  <c r="D449" i="14"/>
  <c r="D451" i="14"/>
  <c r="E67" i="38"/>
  <c r="F195" i="31"/>
  <c r="E59" i="38"/>
  <c r="F187" i="31"/>
  <c r="E69" i="38"/>
  <c r="F197" i="31"/>
  <c r="E61" i="38"/>
  <c r="F189" i="31"/>
  <c r="F200" i="31"/>
  <c r="E72" i="38"/>
  <c r="F196" i="31"/>
  <c r="E68" i="38"/>
  <c r="F192" i="31"/>
  <c r="E64" i="38"/>
  <c r="F188" i="31"/>
  <c r="E60" i="38"/>
  <c r="F184" i="31"/>
  <c r="E56" i="38"/>
  <c r="D428" i="31"/>
  <c r="D430" i="31"/>
  <c r="D432" i="31"/>
  <c r="D434" i="31"/>
  <c r="D429" i="31"/>
  <c r="D433" i="31"/>
  <c r="D431" i="31"/>
  <c r="D435" i="31"/>
  <c r="E71" i="38"/>
  <c r="F199" i="31"/>
  <c r="E63" i="38"/>
  <c r="F191" i="31"/>
  <c r="E55" i="38"/>
  <c r="F183" i="31"/>
  <c r="E73" i="38"/>
  <c r="F201" i="31"/>
  <c r="E65" i="38"/>
  <c r="F193" i="31"/>
  <c r="E57" i="38"/>
  <c r="F185" i="31"/>
  <c r="F202" i="31"/>
  <c r="E74" i="38"/>
  <c r="F198" i="31"/>
  <c r="E70" i="38"/>
  <c r="F194" i="31"/>
  <c r="E66" i="38"/>
  <c r="F190" i="31"/>
  <c r="E62" i="38"/>
  <c r="F186" i="31"/>
  <c r="E58" i="38"/>
  <c r="E64" i="39"/>
  <c r="D199" i="14"/>
  <c r="E72" i="39" s="1"/>
  <c r="D201" i="14"/>
  <c r="D203" i="14"/>
  <c r="D205" i="14"/>
  <c r="D207" i="14"/>
  <c r="D209" i="14"/>
  <c r="D211" i="14"/>
  <c r="D213" i="14"/>
  <c r="D215" i="14"/>
  <c r="D217" i="14"/>
  <c r="D197" i="14"/>
  <c r="E70" i="39" s="1"/>
  <c r="D198" i="14"/>
  <c r="E71" i="39" s="1"/>
  <c r="D200" i="14"/>
  <c r="D202" i="14"/>
  <c r="D204" i="14"/>
  <c r="D206" i="14"/>
  <c r="D208" i="14"/>
  <c r="D210" i="14"/>
  <c r="D212" i="14"/>
  <c r="D214" i="14"/>
  <c r="D216" i="14"/>
  <c r="D218" i="14"/>
  <c r="D229" i="15"/>
  <c r="E89" i="40" s="1"/>
  <c r="D239" i="15"/>
  <c r="D241" i="15"/>
  <c r="D243" i="15"/>
  <c r="D245" i="15"/>
  <c r="D247" i="15"/>
  <c r="D249" i="15"/>
  <c r="D251" i="15"/>
  <c r="D253" i="15"/>
  <c r="D255" i="15"/>
  <c r="D257" i="15"/>
  <c r="D236" i="15"/>
  <c r="E96" i="40" s="1"/>
  <c r="D238" i="15"/>
  <c r="E98" i="40" s="1"/>
  <c r="D240" i="15"/>
  <c r="D242" i="15"/>
  <c r="D244" i="15"/>
  <c r="D246" i="15"/>
  <c r="D248" i="15"/>
  <c r="D250" i="15"/>
  <c r="D252" i="15"/>
  <c r="D254" i="15"/>
  <c r="D256" i="15"/>
  <c r="D237" i="15"/>
  <c r="E97" i="40" s="1"/>
  <c r="D232" i="15"/>
  <c r="E92" i="40" s="1"/>
  <c r="D230" i="15"/>
  <c r="E90" i="40" s="1"/>
  <c r="D228" i="15"/>
  <c r="E88" i="40" s="1"/>
  <c r="D226" i="15"/>
  <c r="E86" i="40" s="1"/>
  <c r="D231" i="15"/>
  <c r="E91" i="40" s="1"/>
  <c r="D227" i="15"/>
  <c r="E87" i="40" s="1"/>
  <c r="D225" i="15"/>
  <c r="G163" i="31"/>
  <c r="H8" i="37" s="1"/>
  <c r="D410" i="31"/>
  <c r="D412" i="31"/>
  <c r="D414" i="31"/>
  <c r="D416" i="31"/>
  <c r="D418" i="31"/>
  <c r="D420" i="31"/>
  <c r="D422" i="31"/>
  <c r="D424" i="31"/>
  <c r="D426" i="31"/>
  <c r="D411" i="31"/>
  <c r="D413" i="31"/>
  <c r="D415" i="31"/>
  <c r="D417" i="31"/>
  <c r="D419" i="31"/>
  <c r="D421" i="31"/>
  <c r="D423" i="31"/>
  <c r="D425" i="31"/>
  <c r="D427" i="31"/>
  <c r="G219" i="15"/>
  <c r="H23" i="37" s="1"/>
  <c r="F187" i="14"/>
  <c r="E60" i="39"/>
  <c r="F192" i="14"/>
  <c r="E65" i="39"/>
  <c r="D246" i="14"/>
  <c r="E138" i="39" s="1"/>
  <c r="E127" i="39"/>
  <c r="E121" i="39"/>
  <c r="D241" i="14"/>
  <c r="E133" i="39" s="1"/>
  <c r="D243" i="14"/>
  <c r="D230" i="14"/>
  <c r="E122" i="39" s="1"/>
  <c r="F189" i="14"/>
  <c r="E62" i="39"/>
  <c r="F186" i="14"/>
  <c r="E59" i="39"/>
  <c r="F190" i="14"/>
  <c r="E63" i="39"/>
  <c r="F193" i="14"/>
  <c r="E43" i="38"/>
  <c r="E42" i="38"/>
  <c r="F170" i="31"/>
  <c r="E47" i="38"/>
  <c r="E46" i="38"/>
  <c r="E44" i="38"/>
  <c r="D232" i="31"/>
  <c r="E124" i="38" s="1"/>
  <c r="D234" i="31"/>
  <c r="E126" i="38" s="1"/>
  <c r="D236" i="31"/>
  <c r="E128" i="38" s="1"/>
  <c r="D238" i="31"/>
  <c r="E130" i="38" s="1"/>
  <c r="D240" i="31"/>
  <c r="E132" i="38" s="1"/>
  <c r="D242" i="31"/>
  <c r="E134" i="38" s="1"/>
  <c r="D244" i="31"/>
  <c r="E136" i="38" s="1"/>
  <c r="D246" i="31"/>
  <c r="E138" i="38" s="1"/>
  <c r="D248" i="31"/>
  <c r="E140" i="38" s="1"/>
  <c r="D250" i="31"/>
  <c r="E142" i="38" s="1"/>
  <c r="D252" i="31"/>
  <c r="E144" i="38" s="1"/>
  <c r="D254" i="31"/>
  <c r="E146" i="38" s="1"/>
  <c r="D256" i="31"/>
  <c r="E148" i="38" s="1"/>
  <c r="D258" i="31"/>
  <c r="E150" i="38" s="1"/>
  <c r="D260" i="31"/>
  <c r="E152" i="38" s="1"/>
  <c r="D262" i="31"/>
  <c r="E154" i="38" s="1"/>
  <c r="D264" i="31"/>
  <c r="E156" i="38" s="1"/>
  <c r="D266" i="31"/>
  <c r="E158" i="38" s="1"/>
  <c r="D268" i="31"/>
  <c r="E160" i="38" s="1"/>
  <c r="D270" i="31"/>
  <c r="E162" i="38" s="1"/>
  <c r="D272" i="31"/>
  <c r="E164" i="38" s="1"/>
  <c r="D274" i="31"/>
  <c r="E166" i="38" s="1"/>
  <c r="D276" i="31"/>
  <c r="E168" i="38" s="1"/>
  <c r="E170" i="38"/>
  <c r="E172" i="38"/>
  <c r="D282" i="31"/>
  <c r="E174" i="38" s="1"/>
  <c r="D284" i="31"/>
  <c r="E176" i="38" s="1"/>
  <c r="D286" i="31"/>
  <c r="E178" i="38" s="1"/>
  <c r="D288" i="31"/>
  <c r="E180" i="38" s="1"/>
  <c r="D290" i="31"/>
  <c r="E182" i="38" s="1"/>
  <c r="D292" i="31"/>
  <c r="E184" i="38" s="1"/>
  <c r="D294" i="31"/>
  <c r="E186" i="38" s="1"/>
  <c r="D296" i="31"/>
  <c r="E188" i="38" s="1"/>
  <c r="D298" i="31"/>
  <c r="E190" i="38" s="1"/>
  <c r="D300" i="31"/>
  <c r="E192" i="38" s="1"/>
  <c r="D302" i="31"/>
  <c r="E194" i="38" s="1"/>
  <c r="D304" i="31"/>
  <c r="E196" i="38" s="1"/>
  <c r="D306" i="31"/>
  <c r="E198" i="38" s="1"/>
  <c r="D308" i="31"/>
  <c r="E200" i="38" s="1"/>
  <c r="D310" i="31"/>
  <c r="E202" i="38" s="1"/>
  <c r="D312" i="31"/>
  <c r="E204" i="38" s="1"/>
  <c r="D314" i="31"/>
  <c r="E206" i="38" s="1"/>
  <c r="D316" i="31"/>
  <c r="E208" i="38" s="1"/>
  <c r="D318" i="31"/>
  <c r="E210" i="38" s="1"/>
  <c r="D320" i="31"/>
  <c r="E212" i="38" s="1"/>
  <c r="D322" i="31"/>
  <c r="E214" i="38" s="1"/>
  <c r="D324" i="31"/>
  <c r="E216" i="38" s="1"/>
  <c r="D326" i="31"/>
  <c r="E218" i="38" s="1"/>
  <c r="D328" i="31"/>
  <c r="E220" i="38" s="1"/>
  <c r="D330" i="31"/>
  <c r="E222" i="38" s="1"/>
  <c r="D332" i="31"/>
  <c r="E224" i="38" s="1"/>
  <c r="D334" i="31"/>
  <c r="E226" i="38" s="1"/>
  <c r="D336" i="31"/>
  <c r="E228" i="38" s="1"/>
  <c r="D338" i="31"/>
  <c r="E230" i="38" s="1"/>
  <c r="D340" i="31"/>
  <c r="E232" i="38" s="1"/>
  <c r="D342" i="31"/>
  <c r="E234" i="38" s="1"/>
  <c r="D344" i="31"/>
  <c r="E236" i="38" s="1"/>
  <c r="D346" i="31"/>
  <c r="E238" i="38" s="1"/>
  <c r="D348" i="31"/>
  <c r="E240" i="38" s="1"/>
  <c r="D350" i="31"/>
  <c r="E242" i="38" s="1"/>
  <c r="D352" i="31"/>
  <c r="E244" i="38" s="1"/>
  <c r="D354" i="31"/>
  <c r="E246" i="38" s="1"/>
  <c r="D356" i="31"/>
  <c r="D358" i="31"/>
  <c r="D360" i="31"/>
  <c r="D362" i="31"/>
  <c r="D364" i="31"/>
  <c r="D366" i="31"/>
  <c r="D368" i="31"/>
  <c r="D370" i="31"/>
  <c r="D372" i="31"/>
  <c r="D374" i="31"/>
  <c r="D376" i="31"/>
  <c r="D378" i="31"/>
  <c r="D380" i="31"/>
  <c r="D382" i="31"/>
  <c r="D384" i="31"/>
  <c r="D386" i="31"/>
  <c r="D388" i="31"/>
  <c r="D390" i="31"/>
  <c r="D392" i="31"/>
  <c r="D394" i="31"/>
  <c r="D396" i="31"/>
  <c r="D398" i="31"/>
  <c r="D400" i="31"/>
  <c r="D233" i="31"/>
  <c r="E125" i="38" s="1"/>
  <c r="D237" i="31"/>
  <c r="E129" i="38" s="1"/>
  <c r="D241" i="31"/>
  <c r="E133" i="38" s="1"/>
  <c r="D245" i="31"/>
  <c r="E137" i="38" s="1"/>
  <c r="D249" i="31"/>
  <c r="E141" i="38" s="1"/>
  <c r="D253" i="31"/>
  <c r="E145" i="38" s="1"/>
  <c r="D257" i="31"/>
  <c r="E149" i="38" s="1"/>
  <c r="D261" i="31"/>
  <c r="E153" i="38" s="1"/>
  <c r="D265" i="31"/>
  <c r="E157" i="38" s="1"/>
  <c r="D269" i="31"/>
  <c r="E161" i="38" s="1"/>
  <c r="D273" i="31"/>
  <c r="E165" i="38" s="1"/>
  <c r="E169" i="38"/>
  <c r="D281" i="31"/>
  <c r="E173" i="38" s="1"/>
  <c r="D285" i="31"/>
  <c r="E177" i="38" s="1"/>
  <c r="D289" i="31"/>
  <c r="E181" i="38" s="1"/>
  <c r="D293" i="31"/>
  <c r="E185" i="38" s="1"/>
  <c r="D297" i="31"/>
  <c r="E189" i="38" s="1"/>
  <c r="D301" i="31"/>
  <c r="E193" i="38" s="1"/>
  <c r="D305" i="31"/>
  <c r="E197" i="38" s="1"/>
  <c r="D309" i="31"/>
  <c r="E201" i="38" s="1"/>
  <c r="D313" i="31"/>
  <c r="E205" i="38" s="1"/>
  <c r="D317" i="31"/>
  <c r="E209" i="38" s="1"/>
  <c r="D321" i="31"/>
  <c r="E213" i="38" s="1"/>
  <c r="D325" i="31"/>
  <c r="E217" i="38" s="1"/>
  <c r="D329" i="31"/>
  <c r="E221" i="38" s="1"/>
  <c r="D333" i="31"/>
  <c r="E225" i="38" s="1"/>
  <c r="D337" i="31"/>
  <c r="E229" i="38" s="1"/>
  <c r="D341" i="31"/>
  <c r="E233" i="38" s="1"/>
  <c r="D345" i="31"/>
  <c r="E237" i="38" s="1"/>
  <c r="D349" i="31"/>
  <c r="E241" i="38" s="1"/>
  <c r="D353" i="31"/>
  <c r="E245" i="38" s="1"/>
  <c r="D357" i="31"/>
  <c r="D361" i="31"/>
  <c r="D365" i="31"/>
  <c r="D369" i="31"/>
  <c r="D373" i="31"/>
  <c r="D377" i="31"/>
  <c r="D381" i="31"/>
  <c r="D385" i="31"/>
  <c r="D389" i="31"/>
  <c r="D393" i="31"/>
  <c r="D397" i="31"/>
  <c r="D401" i="31"/>
  <c r="D403" i="31"/>
  <c r="D405" i="31"/>
  <c r="D407" i="31"/>
  <c r="D409" i="31"/>
  <c r="D231" i="31"/>
  <c r="E123" i="38" s="1"/>
  <c r="D235" i="31"/>
  <c r="E127" i="38" s="1"/>
  <c r="D239" i="31"/>
  <c r="E131" i="38" s="1"/>
  <c r="D243" i="31"/>
  <c r="E135" i="38" s="1"/>
  <c r="D247" i="31"/>
  <c r="D251" i="31"/>
  <c r="E143" i="38" s="1"/>
  <c r="D255" i="31"/>
  <c r="E147" i="38" s="1"/>
  <c r="D259" i="31"/>
  <c r="E151" i="38" s="1"/>
  <c r="D263" i="31"/>
  <c r="E155" i="38" s="1"/>
  <c r="D267" i="31"/>
  <c r="E159" i="38" s="1"/>
  <c r="D271" i="31"/>
  <c r="E163" i="38" s="1"/>
  <c r="D275" i="31"/>
  <c r="E167" i="38" s="1"/>
  <c r="D279" i="31"/>
  <c r="E171" i="38" s="1"/>
  <c r="D283" i="31"/>
  <c r="E175" i="38" s="1"/>
  <c r="D287" i="31"/>
  <c r="E179" i="38" s="1"/>
  <c r="D291" i="31"/>
  <c r="E183" i="38" s="1"/>
  <c r="D295" i="31"/>
  <c r="E187" i="38" s="1"/>
  <c r="D299" i="31"/>
  <c r="E191" i="38" s="1"/>
  <c r="D303" i="31"/>
  <c r="E195" i="38" s="1"/>
  <c r="D307" i="31"/>
  <c r="E199" i="38" s="1"/>
  <c r="D311" i="31"/>
  <c r="E203" i="38" s="1"/>
  <c r="D315" i="31"/>
  <c r="E207" i="38" s="1"/>
  <c r="D319" i="31"/>
  <c r="E211" i="38" s="1"/>
  <c r="D323" i="31"/>
  <c r="E215" i="38" s="1"/>
  <c r="D327" i="31"/>
  <c r="E219" i="38" s="1"/>
  <c r="D331" i="31"/>
  <c r="E223" i="38" s="1"/>
  <c r="D335" i="31"/>
  <c r="E227" i="38" s="1"/>
  <c r="D339" i="31"/>
  <c r="E231" i="38" s="1"/>
  <c r="D343" i="31"/>
  <c r="E235" i="38" s="1"/>
  <c r="D347" i="31"/>
  <c r="E239" i="38" s="1"/>
  <c r="D351" i="31"/>
  <c r="E243" i="38" s="1"/>
  <c r="D355" i="31"/>
  <c r="E247" i="38" s="1"/>
  <c r="D359" i="31"/>
  <c r="D363" i="31"/>
  <c r="D367" i="31"/>
  <c r="D371" i="31"/>
  <c r="D375" i="31"/>
  <c r="D379" i="31"/>
  <c r="D383" i="31"/>
  <c r="D387" i="31"/>
  <c r="D391" i="31"/>
  <c r="D395" i="31"/>
  <c r="D399" i="31"/>
  <c r="D402" i="31"/>
  <c r="D404" i="31"/>
  <c r="D406" i="31"/>
  <c r="D408" i="31"/>
  <c r="D230" i="31"/>
  <c r="E122" i="38" s="1"/>
  <c r="D226" i="31"/>
  <c r="D224" i="31"/>
  <c r="E116" i="38" s="1"/>
  <c r="D218" i="31"/>
  <c r="D214" i="31"/>
  <c r="D211" i="31"/>
  <c r="E103" i="38" s="1"/>
  <c r="D225" i="31"/>
  <c r="E117" i="38" s="1"/>
  <c r="E111" i="38"/>
  <c r="D215" i="31"/>
  <c r="E107" i="38" s="1"/>
  <c r="E105" i="38"/>
  <c r="F243" i="14"/>
  <c r="D239" i="14"/>
  <c r="D233" i="14"/>
  <c r="D231" i="14"/>
  <c r="F229" i="14"/>
  <c r="F242" i="14"/>
  <c r="F240" i="14"/>
  <c r="F236" i="14"/>
  <c r="D234" i="14"/>
  <c r="D232" i="14"/>
  <c r="D227" i="14"/>
  <c r="F188" i="14"/>
  <c r="F191" i="14"/>
  <c r="G172" i="14"/>
  <c r="G208" i="15"/>
  <c r="E123" i="40"/>
  <c r="E125" i="40"/>
  <c r="G209" i="15"/>
  <c r="E124" i="40"/>
  <c r="A260" i="15"/>
  <c r="F210" i="31" l="1"/>
  <c r="E102" i="38"/>
  <c r="F444" i="31"/>
  <c r="E336" i="38"/>
  <c r="F440" i="31"/>
  <c r="E332" i="38"/>
  <c r="F443" i="31"/>
  <c r="E335" i="38"/>
  <c r="F439" i="31"/>
  <c r="E331" i="38"/>
  <c r="F445" i="31"/>
  <c r="E337" i="38"/>
  <c r="F212" i="31"/>
  <c r="E104" i="38"/>
  <c r="F436" i="31"/>
  <c r="E328" i="38"/>
  <c r="F442" i="31"/>
  <c r="E334" i="38"/>
  <c r="F438" i="31"/>
  <c r="E330" i="38"/>
  <c r="F441" i="31"/>
  <c r="E333" i="38"/>
  <c r="F437" i="31"/>
  <c r="E329" i="38"/>
  <c r="F446" i="31"/>
  <c r="E338" i="38"/>
  <c r="F447" i="31"/>
  <c r="E339" i="38"/>
  <c r="F454" i="14"/>
  <c r="E346" i="39"/>
  <c r="F226" i="14"/>
  <c r="E118" i="39"/>
  <c r="F237" i="14"/>
  <c r="E129" i="39"/>
  <c r="F453" i="14"/>
  <c r="E345" i="39"/>
  <c r="E353" i="39"/>
  <c r="F461" i="14"/>
  <c r="E349" i="39"/>
  <c r="F457" i="14"/>
  <c r="E352" i="39"/>
  <c r="F460" i="14"/>
  <c r="F238" i="14"/>
  <c r="E130" i="39"/>
  <c r="F456" i="14"/>
  <c r="E348" i="39"/>
  <c r="F452" i="14"/>
  <c r="E344" i="39"/>
  <c r="F228" i="14"/>
  <c r="E120" i="39"/>
  <c r="F455" i="14"/>
  <c r="E347" i="39"/>
  <c r="E355" i="39"/>
  <c r="F463" i="14"/>
  <c r="E351" i="39"/>
  <c r="F459" i="14"/>
  <c r="E354" i="39"/>
  <c r="F462" i="14"/>
  <c r="E350" i="39"/>
  <c r="F458" i="14"/>
  <c r="D492" i="15"/>
  <c r="D494" i="15"/>
  <c r="D496" i="15"/>
  <c r="D498" i="15"/>
  <c r="D500" i="15"/>
  <c r="D502" i="15"/>
  <c r="D504" i="15"/>
  <c r="F504" i="15" s="1"/>
  <c r="D506" i="15"/>
  <c r="F506" i="15" s="1"/>
  <c r="D508" i="15"/>
  <c r="F508" i="15" s="1"/>
  <c r="D276" i="15"/>
  <c r="D268" i="15"/>
  <c r="D264" i="15"/>
  <c r="D491" i="15"/>
  <c r="D493" i="15"/>
  <c r="D495" i="15"/>
  <c r="D497" i="15"/>
  <c r="D499" i="15"/>
  <c r="D501" i="15"/>
  <c r="D503" i="15"/>
  <c r="F503" i="15" s="1"/>
  <c r="D505" i="15"/>
  <c r="F505" i="15" s="1"/>
  <c r="D507" i="15"/>
  <c r="F507" i="15" s="1"/>
  <c r="D277" i="15"/>
  <c r="D274" i="15"/>
  <c r="D267" i="15"/>
  <c r="D265" i="15"/>
  <c r="F203" i="31"/>
  <c r="E8" i="37" s="1"/>
  <c r="F256" i="15"/>
  <c r="E116" i="40"/>
  <c r="F252" i="15"/>
  <c r="E112" i="40"/>
  <c r="F248" i="15"/>
  <c r="E108" i="40"/>
  <c r="F244" i="15"/>
  <c r="E104" i="40"/>
  <c r="F240" i="15"/>
  <c r="E100" i="40"/>
  <c r="F255" i="15"/>
  <c r="E115" i="40"/>
  <c r="F251" i="15"/>
  <c r="E111" i="40"/>
  <c r="F247" i="15"/>
  <c r="E107" i="40"/>
  <c r="F243" i="15"/>
  <c r="E103" i="40"/>
  <c r="F239" i="15"/>
  <c r="E99" i="40"/>
  <c r="D286" i="15"/>
  <c r="E165" i="40" s="1"/>
  <c r="D288" i="15"/>
  <c r="E167" i="40" s="1"/>
  <c r="D290" i="15"/>
  <c r="E169" i="40" s="1"/>
  <c r="D292" i="15"/>
  <c r="E171" i="40" s="1"/>
  <c r="D294" i="15"/>
  <c r="E173" i="40" s="1"/>
  <c r="D296" i="15"/>
  <c r="E175" i="40" s="1"/>
  <c r="D298" i="15"/>
  <c r="E177" i="40" s="1"/>
  <c r="D300" i="15"/>
  <c r="E179" i="40" s="1"/>
  <c r="D302" i="15"/>
  <c r="E181" i="40" s="1"/>
  <c r="D304" i="15"/>
  <c r="E183" i="40" s="1"/>
  <c r="D306" i="15"/>
  <c r="E185" i="40" s="1"/>
  <c r="D308" i="15"/>
  <c r="E187" i="40" s="1"/>
  <c r="D310" i="15"/>
  <c r="E189" i="40" s="1"/>
  <c r="D312" i="15"/>
  <c r="E191" i="40" s="1"/>
  <c r="D314" i="15"/>
  <c r="E193" i="40" s="1"/>
  <c r="D316" i="15"/>
  <c r="E195" i="40" s="1"/>
  <c r="D318" i="15"/>
  <c r="E197" i="40" s="1"/>
  <c r="D320" i="15"/>
  <c r="E199" i="40" s="1"/>
  <c r="D322" i="15"/>
  <c r="E201" i="40" s="1"/>
  <c r="D324" i="15"/>
  <c r="E203" i="40" s="1"/>
  <c r="D326" i="15"/>
  <c r="E205" i="40" s="1"/>
  <c r="D328" i="15"/>
  <c r="E207" i="40" s="1"/>
  <c r="D330" i="15"/>
  <c r="E209" i="40" s="1"/>
  <c r="D332" i="15"/>
  <c r="E211" i="40" s="1"/>
  <c r="D334" i="15"/>
  <c r="E213" i="40" s="1"/>
  <c r="D336" i="15"/>
  <c r="E215" i="40" s="1"/>
  <c r="D338" i="15"/>
  <c r="E217" i="40" s="1"/>
  <c r="D340" i="15"/>
  <c r="E219" i="40" s="1"/>
  <c r="D342" i="15"/>
  <c r="E221" i="40" s="1"/>
  <c r="D344" i="15"/>
  <c r="E223" i="40" s="1"/>
  <c r="D346" i="15"/>
  <c r="E225" i="40" s="1"/>
  <c r="D348" i="15"/>
  <c r="E227" i="40" s="1"/>
  <c r="D350" i="15"/>
  <c r="E229" i="40" s="1"/>
  <c r="D352" i="15"/>
  <c r="E231" i="40" s="1"/>
  <c r="D354" i="15"/>
  <c r="E233" i="40" s="1"/>
  <c r="D356" i="15"/>
  <c r="E235" i="40" s="1"/>
  <c r="D358" i="15"/>
  <c r="E237" i="40" s="1"/>
  <c r="D360" i="15"/>
  <c r="E239" i="40" s="1"/>
  <c r="D362" i="15"/>
  <c r="E241" i="40" s="1"/>
  <c r="D364" i="15"/>
  <c r="E243" i="40" s="1"/>
  <c r="D366" i="15"/>
  <c r="E245" i="40" s="1"/>
  <c r="D368" i="15"/>
  <c r="E247" i="40" s="1"/>
  <c r="D370" i="15"/>
  <c r="E249" i="40" s="1"/>
  <c r="D372" i="15"/>
  <c r="E251" i="40" s="1"/>
  <c r="D374" i="15"/>
  <c r="E253" i="40" s="1"/>
  <c r="D376" i="15"/>
  <c r="E255" i="40" s="1"/>
  <c r="D378" i="15"/>
  <c r="E257" i="40" s="1"/>
  <c r="D380" i="15"/>
  <c r="E259" i="40" s="1"/>
  <c r="D382" i="15"/>
  <c r="E261" i="40" s="1"/>
  <c r="D384" i="15"/>
  <c r="E263" i="40" s="1"/>
  <c r="D386" i="15"/>
  <c r="E265" i="40" s="1"/>
  <c r="D388" i="15"/>
  <c r="E267" i="40" s="1"/>
  <c r="D390" i="15"/>
  <c r="E269" i="40" s="1"/>
  <c r="D392" i="15"/>
  <c r="E271" i="40" s="1"/>
  <c r="D394" i="15"/>
  <c r="E273" i="40" s="1"/>
  <c r="D396" i="15"/>
  <c r="E275" i="40" s="1"/>
  <c r="D398" i="15"/>
  <c r="E277" i="40" s="1"/>
  <c r="D400" i="15"/>
  <c r="E279" i="40" s="1"/>
  <c r="D402" i="15"/>
  <c r="E281" i="40" s="1"/>
  <c r="D404" i="15"/>
  <c r="E283" i="40" s="1"/>
  <c r="D406" i="15"/>
  <c r="E285" i="40" s="1"/>
  <c r="D408" i="15"/>
  <c r="E287" i="40" s="1"/>
  <c r="D410" i="15"/>
  <c r="E289" i="40" s="1"/>
  <c r="D412" i="15"/>
  <c r="E291" i="40" s="1"/>
  <c r="D414" i="15"/>
  <c r="E293" i="40" s="1"/>
  <c r="D416" i="15"/>
  <c r="E295" i="40" s="1"/>
  <c r="D418" i="15"/>
  <c r="E297" i="40" s="1"/>
  <c r="D420" i="15"/>
  <c r="E299" i="40" s="1"/>
  <c r="D422" i="15"/>
  <c r="E301" i="40" s="1"/>
  <c r="D424" i="15"/>
  <c r="E303" i="40" s="1"/>
  <c r="D426" i="15"/>
  <c r="E305" i="40" s="1"/>
  <c r="D428" i="15"/>
  <c r="E307" i="40" s="1"/>
  <c r="D430" i="15"/>
  <c r="E309" i="40" s="1"/>
  <c r="D432" i="15"/>
  <c r="E311" i="40" s="1"/>
  <c r="D434" i="15"/>
  <c r="E313" i="40" s="1"/>
  <c r="D287" i="15"/>
  <c r="E166" i="40" s="1"/>
  <c r="D289" i="15"/>
  <c r="E168" i="40" s="1"/>
  <c r="D291" i="15"/>
  <c r="E170" i="40" s="1"/>
  <c r="D293" i="15"/>
  <c r="E172" i="40" s="1"/>
  <c r="D295" i="15"/>
  <c r="E174" i="40" s="1"/>
  <c r="D297" i="15"/>
  <c r="E176" i="40" s="1"/>
  <c r="D299" i="15"/>
  <c r="E178" i="40" s="1"/>
  <c r="D301" i="15"/>
  <c r="E180" i="40" s="1"/>
  <c r="D303" i="15"/>
  <c r="E182" i="40" s="1"/>
  <c r="D305" i="15"/>
  <c r="E184" i="40" s="1"/>
  <c r="D307" i="15"/>
  <c r="E186" i="40" s="1"/>
  <c r="D309" i="15"/>
  <c r="E188" i="40" s="1"/>
  <c r="D311" i="15"/>
  <c r="E190" i="40" s="1"/>
  <c r="D313" i="15"/>
  <c r="E192" i="40" s="1"/>
  <c r="D315" i="15"/>
  <c r="E194" i="40" s="1"/>
  <c r="D317" i="15"/>
  <c r="E196" i="40" s="1"/>
  <c r="D319" i="15"/>
  <c r="E198" i="40" s="1"/>
  <c r="D321" i="15"/>
  <c r="E200" i="40" s="1"/>
  <c r="D323" i="15"/>
  <c r="E202" i="40" s="1"/>
  <c r="D325" i="15"/>
  <c r="E204" i="40" s="1"/>
  <c r="D327" i="15"/>
  <c r="E206" i="40" s="1"/>
  <c r="D329" i="15"/>
  <c r="E208" i="40" s="1"/>
  <c r="D331" i="15"/>
  <c r="E210" i="40" s="1"/>
  <c r="D333" i="15"/>
  <c r="E212" i="40" s="1"/>
  <c r="D335" i="15"/>
  <c r="E214" i="40" s="1"/>
  <c r="D337" i="15"/>
  <c r="E216" i="40" s="1"/>
  <c r="D339" i="15"/>
  <c r="E218" i="40" s="1"/>
  <c r="D341" i="15"/>
  <c r="E220" i="40" s="1"/>
  <c r="D343" i="15"/>
  <c r="E222" i="40" s="1"/>
  <c r="D345" i="15"/>
  <c r="E224" i="40" s="1"/>
  <c r="D347" i="15"/>
  <c r="E226" i="40" s="1"/>
  <c r="D349" i="15"/>
  <c r="E228" i="40" s="1"/>
  <c r="D351" i="15"/>
  <c r="E230" i="40" s="1"/>
  <c r="D353" i="15"/>
  <c r="E232" i="40" s="1"/>
  <c r="D355" i="15"/>
  <c r="E234" i="40" s="1"/>
  <c r="D357" i="15"/>
  <c r="E236" i="40" s="1"/>
  <c r="D359" i="15"/>
  <c r="E238" i="40" s="1"/>
  <c r="D361" i="15"/>
  <c r="E240" i="40" s="1"/>
  <c r="D363" i="15"/>
  <c r="E242" i="40" s="1"/>
  <c r="D365" i="15"/>
  <c r="E244" i="40" s="1"/>
  <c r="D367" i="15"/>
  <c r="E246" i="40" s="1"/>
  <c r="D369" i="15"/>
  <c r="E248" i="40" s="1"/>
  <c r="D371" i="15"/>
  <c r="E250" i="40" s="1"/>
  <c r="D373" i="15"/>
  <c r="E252" i="40" s="1"/>
  <c r="D375" i="15"/>
  <c r="E254" i="40" s="1"/>
  <c r="D377" i="15"/>
  <c r="E256" i="40" s="1"/>
  <c r="D379" i="15"/>
  <c r="E258" i="40" s="1"/>
  <c r="D381" i="15"/>
  <c r="E260" i="40" s="1"/>
  <c r="D383" i="15"/>
  <c r="E262" i="40" s="1"/>
  <c r="D385" i="15"/>
  <c r="E264" i="40" s="1"/>
  <c r="D387" i="15"/>
  <c r="E266" i="40" s="1"/>
  <c r="D389" i="15"/>
  <c r="E268" i="40" s="1"/>
  <c r="D391" i="15"/>
  <c r="E270" i="40" s="1"/>
  <c r="D393" i="15"/>
  <c r="E272" i="40" s="1"/>
  <c r="D395" i="15"/>
  <c r="E274" i="40" s="1"/>
  <c r="D397" i="15"/>
  <c r="E276" i="40" s="1"/>
  <c r="D399" i="15"/>
  <c r="E278" i="40" s="1"/>
  <c r="D401" i="15"/>
  <c r="E280" i="40" s="1"/>
  <c r="D403" i="15"/>
  <c r="E282" i="40" s="1"/>
  <c r="D405" i="15"/>
  <c r="E284" i="40" s="1"/>
  <c r="D407" i="15"/>
  <c r="E286" i="40" s="1"/>
  <c r="D409" i="15"/>
  <c r="E288" i="40" s="1"/>
  <c r="D411" i="15"/>
  <c r="E290" i="40" s="1"/>
  <c r="D413" i="15"/>
  <c r="E292" i="40" s="1"/>
  <c r="D415" i="15"/>
  <c r="E294" i="40" s="1"/>
  <c r="D417" i="15"/>
  <c r="E296" i="40" s="1"/>
  <c r="D419" i="15"/>
  <c r="E298" i="40" s="1"/>
  <c r="D421" i="15"/>
  <c r="E300" i="40" s="1"/>
  <c r="D423" i="15"/>
  <c r="E302" i="40" s="1"/>
  <c r="D425" i="15"/>
  <c r="E304" i="40" s="1"/>
  <c r="D427" i="15"/>
  <c r="E306" i="40" s="1"/>
  <c r="D429" i="15"/>
  <c r="E308" i="40" s="1"/>
  <c r="D431" i="15"/>
  <c r="E310" i="40" s="1"/>
  <c r="D433" i="15"/>
  <c r="E312" i="40" s="1"/>
  <c r="D435" i="15"/>
  <c r="E314" i="40" s="1"/>
  <c r="D436" i="15"/>
  <c r="E315" i="40" s="1"/>
  <c r="D438" i="15"/>
  <c r="E317" i="40" s="1"/>
  <c r="D440" i="15"/>
  <c r="E319" i="40" s="1"/>
  <c r="D442" i="15"/>
  <c r="E321" i="40" s="1"/>
  <c r="D444" i="15"/>
  <c r="E323" i="40" s="1"/>
  <c r="D446" i="15"/>
  <c r="E325" i="40" s="1"/>
  <c r="D448" i="15"/>
  <c r="E327" i="40" s="1"/>
  <c r="D450" i="15"/>
  <c r="E329" i="40" s="1"/>
  <c r="D452" i="15"/>
  <c r="E331" i="40" s="1"/>
  <c r="D454" i="15"/>
  <c r="E333" i="40" s="1"/>
  <c r="D456" i="15"/>
  <c r="E335" i="40" s="1"/>
  <c r="D458" i="15"/>
  <c r="E337" i="40" s="1"/>
  <c r="D460" i="15"/>
  <c r="E339" i="40" s="1"/>
  <c r="D462" i="15"/>
  <c r="E341" i="40" s="1"/>
  <c r="D464" i="15"/>
  <c r="E343" i="40" s="1"/>
  <c r="D466" i="15"/>
  <c r="E345" i="40" s="1"/>
  <c r="D468" i="15"/>
  <c r="E347" i="40" s="1"/>
  <c r="D470" i="15"/>
  <c r="E349" i="40" s="1"/>
  <c r="D472" i="15"/>
  <c r="E351" i="40" s="1"/>
  <c r="D474" i="15"/>
  <c r="E353" i="40" s="1"/>
  <c r="D476" i="15"/>
  <c r="D478" i="15"/>
  <c r="D480" i="15"/>
  <c r="D482" i="15"/>
  <c r="D484" i="15"/>
  <c r="E363" i="40" s="1"/>
  <c r="D486" i="15"/>
  <c r="E365" i="40" s="1"/>
  <c r="D488" i="15"/>
  <c r="E367" i="40" s="1"/>
  <c r="D490" i="15"/>
  <c r="E369" i="40" s="1"/>
  <c r="D437" i="15"/>
  <c r="E316" i="40" s="1"/>
  <c r="D439" i="15"/>
  <c r="E318" i="40" s="1"/>
  <c r="D441" i="15"/>
  <c r="E320" i="40" s="1"/>
  <c r="D443" i="15"/>
  <c r="E322" i="40" s="1"/>
  <c r="D445" i="15"/>
  <c r="E324" i="40" s="1"/>
  <c r="D447" i="15"/>
  <c r="E326" i="40" s="1"/>
  <c r="D449" i="15"/>
  <c r="E328" i="40" s="1"/>
  <c r="D451" i="15"/>
  <c r="E330" i="40" s="1"/>
  <c r="D453" i="15"/>
  <c r="E332" i="40" s="1"/>
  <c r="D455" i="15"/>
  <c r="E334" i="40" s="1"/>
  <c r="D457" i="15"/>
  <c r="E336" i="40" s="1"/>
  <c r="D459" i="15"/>
  <c r="E338" i="40" s="1"/>
  <c r="D461" i="15"/>
  <c r="E340" i="40" s="1"/>
  <c r="D463" i="15"/>
  <c r="E342" i="40" s="1"/>
  <c r="D465" i="15"/>
  <c r="E344" i="40" s="1"/>
  <c r="D467" i="15"/>
  <c r="E346" i="40" s="1"/>
  <c r="D469" i="15"/>
  <c r="E348" i="40" s="1"/>
  <c r="D471" i="15"/>
  <c r="E350" i="40" s="1"/>
  <c r="D473" i="15"/>
  <c r="E352" i="40" s="1"/>
  <c r="D475" i="15"/>
  <c r="D477" i="15"/>
  <c r="D479" i="15"/>
  <c r="D481" i="15"/>
  <c r="D483" i="15"/>
  <c r="E362" i="40" s="1"/>
  <c r="D485" i="15"/>
  <c r="E364" i="40" s="1"/>
  <c r="D487" i="15"/>
  <c r="E366" i="40" s="1"/>
  <c r="D489" i="15"/>
  <c r="E368" i="40" s="1"/>
  <c r="F254" i="15"/>
  <c r="E114" i="40"/>
  <c r="F250" i="15"/>
  <c r="E110" i="40"/>
  <c r="F246" i="15"/>
  <c r="E106" i="40"/>
  <c r="F242" i="15"/>
  <c r="E102" i="40"/>
  <c r="F257" i="15"/>
  <c r="E117" i="40"/>
  <c r="F253" i="15"/>
  <c r="E113" i="40"/>
  <c r="F249" i="15"/>
  <c r="E109" i="40"/>
  <c r="F245" i="15"/>
  <c r="E105" i="40"/>
  <c r="F241" i="15"/>
  <c r="E101" i="40"/>
  <c r="F218" i="14"/>
  <c r="E91" i="39"/>
  <c r="F214" i="14"/>
  <c r="E87" i="39"/>
  <c r="F210" i="14"/>
  <c r="E83" i="39"/>
  <c r="F206" i="14"/>
  <c r="E79" i="39"/>
  <c r="F202" i="14"/>
  <c r="E75" i="39"/>
  <c r="F217" i="14"/>
  <c r="E90" i="39"/>
  <c r="F213" i="14"/>
  <c r="E86" i="39"/>
  <c r="F209" i="14"/>
  <c r="E82" i="39"/>
  <c r="F205" i="14"/>
  <c r="E78" i="39"/>
  <c r="F201" i="14"/>
  <c r="E74" i="39"/>
  <c r="E341" i="39"/>
  <c r="F449" i="14"/>
  <c r="E337" i="39"/>
  <c r="F445" i="14"/>
  <c r="E333" i="39"/>
  <c r="F441" i="14"/>
  <c r="E342" i="39"/>
  <c r="F450" i="14"/>
  <c r="E338" i="39"/>
  <c r="F446" i="14"/>
  <c r="E334" i="39"/>
  <c r="F442" i="14"/>
  <c r="F216" i="14"/>
  <c r="E89" i="39"/>
  <c r="F212" i="14"/>
  <c r="E85" i="39"/>
  <c r="F208" i="14"/>
  <c r="E81" i="39"/>
  <c r="F204" i="14"/>
  <c r="E77" i="39"/>
  <c r="F200" i="14"/>
  <c r="E73" i="39"/>
  <c r="F215" i="14"/>
  <c r="E88" i="39"/>
  <c r="F211" i="14"/>
  <c r="E84" i="39"/>
  <c r="F207" i="14"/>
  <c r="E80" i="39"/>
  <c r="F203" i="14"/>
  <c r="E76" i="39"/>
  <c r="F451" i="14"/>
  <c r="E343" i="39"/>
  <c r="F447" i="14"/>
  <c r="E339" i="39"/>
  <c r="F443" i="14"/>
  <c r="E335" i="39"/>
  <c r="E340" i="39"/>
  <c r="F448" i="14"/>
  <c r="E336" i="39"/>
  <c r="F444" i="14"/>
  <c r="F427" i="31"/>
  <c r="E319" i="38"/>
  <c r="F423" i="31"/>
  <c r="E315" i="38"/>
  <c r="F419" i="31"/>
  <c r="E311" i="38"/>
  <c r="F415" i="31"/>
  <c r="E307" i="38"/>
  <c r="F411" i="31"/>
  <c r="E303" i="38"/>
  <c r="F424" i="31"/>
  <c r="E316" i="38"/>
  <c r="F420" i="31"/>
  <c r="E312" i="38"/>
  <c r="F416" i="31"/>
  <c r="E308" i="38"/>
  <c r="F412" i="31"/>
  <c r="E304" i="38"/>
  <c r="E323" i="38"/>
  <c r="F431" i="31"/>
  <c r="E321" i="38"/>
  <c r="F429" i="31"/>
  <c r="E324" i="38"/>
  <c r="F432" i="31"/>
  <c r="E320" i="38"/>
  <c r="F428" i="31"/>
  <c r="F425" i="31"/>
  <c r="E317" i="38"/>
  <c r="F421" i="31"/>
  <c r="E313" i="38"/>
  <c r="F417" i="31"/>
  <c r="E309" i="38"/>
  <c r="F413" i="31"/>
  <c r="E305" i="38"/>
  <c r="F426" i="31"/>
  <c r="E318" i="38"/>
  <c r="F422" i="31"/>
  <c r="E314" i="38"/>
  <c r="F418" i="31"/>
  <c r="E310" i="38"/>
  <c r="F414" i="31"/>
  <c r="E306" i="38"/>
  <c r="F410" i="31"/>
  <c r="E302" i="38"/>
  <c r="E327" i="38"/>
  <c r="F435" i="31"/>
  <c r="E325" i="38"/>
  <c r="F433" i="31"/>
  <c r="E326" i="38"/>
  <c r="F434" i="31"/>
  <c r="E322" i="38"/>
  <c r="F430" i="31"/>
  <c r="F246" i="14"/>
  <c r="F249" i="14"/>
  <c r="F248" i="14"/>
  <c r="D285" i="15"/>
  <c r="E164" i="40" s="1"/>
  <c r="D280" i="15"/>
  <c r="E159" i="40" s="1"/>
  <c r="D275" i="15"/>
  <c r="E154" i="40" s="1"/>
  <c r="D269" i="15"/>
  <c r="E148" i="40" s="1"/>
  <c r="D282" i="15"/>
  <c r="D279" i="15"/>
  <c r="E158" i="40" s="1"/>
  <c r="E153" i="40"/>
  <c r="E147" i="40"/>
  <c r="F227" i="15"/>
  <c r="F231" i="15"/>
  <c r="F226" i="15"/>
  <c r="F230" i="15"/>
  <c r="E85" i="40"/>
  <c r="F225" i="15"/>
  <c r="F229" i="15"/>
  <c r="F237" i="15"/>
  <c r="F228" i="15"/>
  <c r="F232" i="15"/>
  <c r="D233" i="15"/>
  <c r="E93" i="40" s="1"/>
  <c r="F438" i="14"/>
  <c r="F434" i="14"/>
  <c r="F430" i="14"/>
  <c r="F426" i="14"/>
  <c r="F437" i="14"/>
  <c r="F433" i="14"/>
  <c r="F429" i="14"/>
  <c r="F440" i="14"/>
  <c r="F436" i="14"/>
  <c r="F432" i="14"/>
  <c r="F428" i="14"/>
  <c r="F439" i="14"/>
  <c r="F435" i="14"/>
  <c r="F431" i="14"/>
  <c r="F427" i="14"/>
  <c r="F230" i="14"/>
  <c r="F235" i="14"/>
  <c r="F241" i="14"/>
  <c r="F247" i="14"/>
  <c r="F195" i="14"/>
  <c r="F234" i="14"/>
  <c r="E126" i="39"/>
  <c r="F231" i="14"/>
  <c r="E123" i="39"/>
  <c r="F417" i="14"/>
  <c r="F403" i="14"/>
  <c r="F387" i="14"/>
  <c r="F199" i="14"/>
  <c r="F227" i="14"/>
  <c r="E119" i="39"/>
  <c r="F232" i="14"/>
  <c r="E124" i="39"/>
  <c r="F233" i="14"/>
  <c r="E125" i="39"/>
  <c r="F239" i="14"/>
  <c r="E131" i="39"/>
  <c r="F421" i="14"/>
  <c r="F413" i="14"/>
  <c r="F407" i="14"/>
  <c r="F397" i="14"/>
  <c r="F391" i="14"/>
  <c r="F383" i="14"/>
  <c r="F375" i="14"/>
  <c r="F369" i="14"/>
  <c r="F422" i="14"/>
  <c r="F418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419" i="14"/>
  <c r="F409" i="14"/>
  <c r="F401" i="14"/>
  <c r="F393" i="14"/>
  <c r="F385" i="14"/>
  <c r="F377" i="14"/>
  <c r="F367" i="14"/>
  <c r="F198" i="14"/>
  <c r="F196" i="14"/>
  <c r="F425" i="14"/>
  <c r="F411" i="14"/>
  <c r="F395" i="14"/>
  <c r="F379" i="14"/>
  <c r="F373" i="14"/>
  <c r="F424" i="14"/>
  <c r="F420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E135" i="39"/>
  <c r="D245" i="14"/>
  <c r="D244" i="14"/>
  <c r="F423" i="14"/>
  <c r="F415" i="14"/>
  <c r="F405" i="14"/>
  <c r="F399" i="14"/>
  <c r="F389" i="14"/>
  <c r="F381" i="14"/>
  <c r="F371" i="14"/>
  <c r="D220" i="31"/>
  <c r="D221" i="31" s="1"/>
  <c r="E110" i="38"/>
  <c r="D227" i="31"/>
  <c r="E119" i="38" s="1"/>
  <c r="E118" i="38"/>
  <c r="E300" i="38"/>
  <c r="F408" i="31"/>
  <c r="E296" i="38"/>
  <c r="F404" i="31"/>
  <c r="E291" i="38"/>
  <c r="F399" i="31"/>
  <c r="E283" i="38"/>
  <c r="F391" i="31"/>
  <c r="E275" i="38"/>
  <c r="F383" i="31"/>
  <c r="E267" i="38"/>
  <c r="F375" i="31"/>
  <c r="E259" i="38"/>
  <c r="F367" i="31"/>
  <c r="E251" i="38"/>
  <c r="F359" i="31"/>
  <c r="E139" i="38"/>
  <c r="F247" i="31"/>
  <c r="E121" i="38"/>
  <c r="E299" i="38"/>
  <c r="F407" i="31"/>
  <c r="E295" i="38"/>
  <c r="F403" i="31"/>
  <c r="E289" i="38"/>
  <c r="F397" i="31"/>
  <c r="E281" i="38"/>
  <c r="F389" i="31"/>
  <c r="E273" i="38"/>
  <c r="F381" i="31"/>
  <c r="E265" i="38"/>
  <c r="F373" i="31"/>
  <c r="E257" i="38"/>
  <c r="F365" i="31"/>
  <c r="E249" i="38"/>
  <c r="F357" i="31"/>
  <c r="E292" i="38"/>
  <c r="F400" i="31"/>
  <c r="E288" i="38"/>
  <c r="F396" i="31"/>
  <c r="E284" i="38"/>
  <c r="F392" i="31"/>
  <c r="E280" i="38"/>
  <c r="F388" i="31"/>
  <c r="E276" i="38"/>
  <c r="F384" i="31"/>
  <c r="E272" i="38"/>
  <c r="F380" i="31"/>
  <c r="E268" i="38"/>
  <c r="F376" i="31"/>
  <c r="E264" i="38"/>
  <c r="F372" i="31"/>
  <c r="E260" i="38"/>
  <c r="F368" i="31"/>
  <c r="E256" i="38"/>
  <c r="F364" i="31"/>
  <c r="E252" i="38"/>
  <c r="F360" i="31"/>
  <c r="E248" i="38"/>
  <c r="F356" i="31"/>
  <c r="E48" i="38"/>
  <c r="E50" i="38"/>
  <c r="D217" i="31"/>
  <c r="E109" i="38" s="1"/>
  <c r="E106" i="38"/>
  <c r="D216" i="31"/>
  <c r="E108" i="38" s="1"/>
  <c r="E298" i="38"/>
  <c r="F406" i="31"/>
  <c r="E294" i="38"/>
  <c r="F402" i="31"/>
  <c r="E287" i="38"/>
  <c r="F395" i="31"/>
  <c r="E279" i="38"/>
  <c r="F387" i="31"/>
  <c r="E271" i="38"/>
  <c r="F379" i="31"/>
  <c r="E263" i="38"/>
  <c r="F371" i="31"/>
  <c r="E255" i="38"/>
  <c r="F363" i="31"/>
  <c r="E120" i="38"/>
  <c r="E301" i="38"/>
  <c r="F409" i="31"/>
  <c r="E297" i="38"/>
  <c r="F405" i="31"/>
  <c r="E293" i="38"/>
  <c r="F401" i="31"/>
  <c r="E285" i="38"/>
  <c r="F393" i="31"/>
  <c r="E277" i="38"/>
  <c r="F385" i="31"/>
  <c r="E269" i="38"/>
  <c r="F377" i="31"/>
  <c r="E261" i="38"/>
  <c r="F369" i="31"/>
  <c r="E253" i="38"/>
  <c r="F361" i="31"/>
  <c r="E290" i="38"/>
  <c r="F398" i="31"/>
  <c r="E286" i="38"/>
  <c r="F394" i="31"/>
  <c r="E282" i="38"/>
  <c r="F390" i="31"/>
  <c r="E278" i="38"/>
  <c r="F386" i="31"/>
  <c r="E274" i="38"/>
  <c r="F382" i="31"/>
  <c r="E270" i="38"/>
  <c r="F378" i="31"/>
  <c r="E266" i="38"/>
  <c r="F374" i="31"/>
  <c r="E262" i="38"/>
  <c r="F370" i="31"/>
  <c r="E258" i="38"/>
  <c r="F366" i="31"/>
  <c r="E254" i="38"/>
  <c r="F362" i="31"/>
  <c r="E250" i="38"/>
  <c r="F358" i="31"/>
  <c r="E49" i="38"/>
  <c r="E45" i="38"/>
  <c r="E51" i="38"/>
  <c r="F197" i="14"/>
  <c r="F325" i="14"/>
  <c r="F321" i="14"/>
  <c r="F317" i="14"/>
  <c r="F313" i="14"/>
  <c r="F309" i="14"/>
  <c r="F305" i="14"/>
  <c r="F301" i="14"/>
  <c r="F297" i="14"/>
  <c r="F293" i="14"/>
  <c r="F289" i="14"/>
  <c r="F285" i="14"/>
  <c r="F333" i="14"/>
  <c r="F329" i="14"/>
  <c r="F341" i="14"/>
  <c r="F337" i="14"/>
  <c r="F350" i="14"/>
  <c r="F346" i="14"/>
  <c r="F342" i="14"/>
  <c r="F353" i="14"/>
  <c r="F363" i="14"/>
  <c r="F359" i="14"/>
  <c r="F322" i="14"/>
  <c r="F318" i="14"/>
  <c r="F314" i="14"/>
  <c r="F310" i="14"/>
  <c r="F306" i="14"/>
  <c r="F302" i="14"/>
  <c r="F298" i="14"/>
  <c r="F294" i="14"/>
  <c r="F290" i="14"/>
  <c r="F286" i="14"/>
  <c r="F334" i="14"/>
  <c r="F330" i="14"/>
  <c r="F326" i="14"/>
  <c r="F338" i="14"/>
  <c r="F351" i="14"/>
  <c r="F347" i="14"/>
  <c r="F343" i="14"/>
  <c r="F354" i="14"/>
  <c r="F364" i="14"/>
  <c r="F360" i="14"/>
  <c r="F194" i="14"/>
  <c r="F323" i="14"/>
  <c r="F319" i="14"/>
  <c r="F315" i="14"/>
  <c r="F311" i="14"/>
  <c r="F307" i="14"/>
  <c r="F303" i="14"/>
  <c r="F299" i="14"/>
  <c r="F295" i="14"/>
  <c r="F291" i="14"/>
  <c r="F287" i="14"/>
  <c r="F283" i="14"/>
  <c r="F331" i="14"/>
  <c r="F327" i="14"/>
  <c r="F339" i="14"/>
  <c r="F335" i="14"/>
  <c r="F348" i="14"/>
  <c r="F344" i="14"/>
  <c r="F355" i="14"/>
  <c r="F365" i="14"/>
  <c r="F361" i="14"/>
  <c r="F357" i="14"/>
  <c r="F324" i="14"/>
  <c r="F320" i="14"/>
  <c r="F316" i="14"/>
  <c r="F312" i="14"/>
  <c r="F308" i="14"/>
  <c r="F304" i="14"/>
  <c r="F300" i="14"/>
  <c r="F296" i="14"/>
  <c r="F292" i="14"/>
  <c r="F288" i="14"/>
  <c r="F284" i="14"/>
  <c r="F332" i="14"/>
  <c r="F328" i="14"/>
  <c r="F340" i="14"/>
  <c r="F336" i="14"/>
  <c r="F349" i="14"/>
  <c r="F345" i="14"/>
  <c r="F356" i="14"/>
  <c r="F352" i="14"/>
  <c r="F362" i="14"/>
  <c r="F358" i="14"/>
  <c r="F430" i="15"/>
  <c r="F282" i="15"/>
  <c r="D278" i="15"/>
  <c r="D272" i="15"/>
  <c r="F425" i="15"/>
  <c r="D281" i="15"/>
  <c r="D273" i="15"/>
  <c r="G211" i="15"/>
  <c r="G23" i="37" s="1"/>
  <c r="F233" i="31"/>
  <c r="F225" i="31"/>
  <c r="F231" i="31"/>
  <c r="F226" i="31"/>
  <c r="F232" i="31"/>
  <c r="F287" i="31"/>
  <c r="F283" i="31"/>
  <c r="F279" i="31"/>
  <c r="F275" i="31"/>
  <c r="F271" i="31"/>
  <c r="F267" i="31"/>
  <c r="F299" i="31"/>
  <c r="F295" i="31"/>
  <c r="F291" i="31"/>
  <c r="F309" i="31"/>
  <c r="F305" i="31"/>
  <c r="F325" i="31"/>
  <c r="F321" i="31"/>
  <c r="F317" i="31"/>
  <c r="F313" i="31"/>
  <c r="F338" i="31"/>
  <c r="F334" i="31"/>
  <c r="F330" i="31"/>
  <c r="F355" i="31"/>
  <c r="F351" i="31"/>
  <c r="F347" i="31"/>
  <c r="F343" i="31"/>
  <c r="F288" i="31"/>
  <c r="F284" i="31"/>
  <c r="F280" i="31"/>
  <c r="F276" i="31"/>
  <c r="F272" i="31"/>
  <c r="F268" i="31"/>
  <c r="F300" i="31"/>
  <c r="F296" i="31"/>
  <c r="F292" i="31"/>
  <c r="F310" i="31"/>
  <c r="F306" i="31"/>
  <c r="F326" i="31"/>
  <c r="F322" i="31"/>
  <c r="F318" i="31"/>
  <c r="F314" i="31"/>
  <c r="F339" i="31"/>
  <c r="F335" i="31"/>
  <c r="F331" i="31"/>
  <c r="F327" i="31"/>
  <c r="F352" i="31"/>
  <c r="F348" i="31"/>
  <c r="F344" i="31"/>
  <c r="F224" i="31"/>
  <c r="F230" i="31"/>
  <c r="F289" i="31"/>
  <c r="F285" i="31"/>
  <c r="F281" i="31"/>
  <c r="F277" i="31"/>
  <c r="F273" i="31"/>
  <c r="F269" i="31"/>
  <c r="F301" i="31"/>
  <c r="F297" i="31"/>
  <c r="F293" i="31"/>
  <c r="F311" i="31"/>
  <c r="F307" i="31"/>
  <c r="F303" i="31"/>
  <c r="F323" i="31"/>
  <c r="F319" i="31"/>
  <c r="F315" i="31"/>
  <c r="F340" i="31"/>
  <c r="F336" i="31"/>
  <c r="F332" i="31"/>
  <c r="F328" i="31"/>
  <c r="F353" i="31"/>
  <c r="F349" i="31"/>
  <c r="F345" i="31"/>
  <c r="F290" i="31"/>
  <c r="F286" i="31"/>
  <c r="F282" i="31"/>
  <c r="F278" i="31"/>
  <c r="F274" i="31"/>
  <c r="F270" i="31"/>
  <c r="F302" i="31"/>
  <c r="F298" i="31"/>
  <c r="F294" i="31"/>
  <c r="F312" i="31"/>
  <c r="F308" i="31"/>
  <c r="F304" i="31"/>
  <c r="F324" i="31"/>
  <c r="F320" i="31"/>
  <c r="F316" i="31"/>
  <c r="F341" i="31"/>
  <c r="F337" i="31"/>
  <c r="F333" i="31"/>
  <c r="F329" i="31"/>
  <c r="F354" i="31"/>
  <c r="F350" i="31"/>
  <c r="F346" i="31"/>
  <c r="F342" i="31"/>
  <c r="D271" i="15"/>
  <c r="D266" i="15"/>
  <c r="D270" i="15"/>
  <c r="E117" i="39"/>
  <c r="F225" i="14"/>
  <c r="F281" i="14"/>
  <c r="F277" i="14"/>
  <c r="F273" i="14"/>
  <c r="F269" i="14"/>
  <c r="F265" i="14"/>
  <c r="F261" i="14"/>
  <c r="F257" i="14"/>
  <c r="F253" i="14"/>
  <c r="F282" i="14"/>
  <c r="F278" i="14"/>
  <c r="F274" i="14"/>
  <c r="F270" i="14"/>
  <c r="F266" i="14"/>
  <c r="F262" i="14"/>
  <c r="F258" i="14"/>
  <c r="F254" i="14"/>
  <c r="F251" i="14"/>
  <c r="F279" i="14"/>
  <c r="F275" i="14"/>
  <c r="F271" i="14"/>
  <c r="F267" i="14"/>
  <c r="F263" i="14"/>
  <c r="F259" i="14"/>
  <c r="F255" i="14"/>
  <c r="F250" i="14"/>
  <c r="F280" i="14"/>
  <c r="F276" i="14"/>
  <c r="F272" i="14"/>
  <c r="F268" i="14"/>
  <c r="F264" i="14"/>
  <c r="F260" i="14"/>
  <c r="F256" i="14"/>
  <c r="F252" i="14"/>
  <c r="F266" i="31"/>
  <c r="F262" i="31"/>
  <c r="F258" i="31"/>
  <c r="F254" i="31"/>
  <c r="F250" i="31"/>
  <c r="F245" i="31"/>
  <c r="F241" i="31"/>
  <c r="F237" i="31"/>
  <c r="F265" i="31"/>
  <c r="F261" i="31"/>
  <c r="F257" i="31"/>
  <c r="F253" i="31"/>
  <c r="F249" i="31"/>
  <c r="F244" i="31"/>
  <c r="F240" i="31"/>
  <c r="F235" i="31"/>
  <c r="F264" i="31"/>
  <c r="F260" i="31"/>
  <c r="F256" i="31"/>
  <c r="F252" i="31"/>
  <c r="F248" i="31"/>
  <c r="F243" i="31"/>
  <c r="F239" i="31"/>
  <c r="F236" i="31"/>
  <c r="F263" i="31"/>
  <c r="F259" i="31"/>
  <c r="F255" i="31"/>
  <c r="F251" i="31"/>
  <c r="F246" i="31"/>
  <c r="F242" i="31"/>
  <c r="F238" i="31"/>
  <c r="F211" i="31"/>
  <c r="F220" i="31"/>
  <c r="F213" i="31"/>
  <c r="F214" i="31"/>
  <c r="F218" i="31"/>
  <c r="E101" i="38"/>
  <c r="F209" i="31"/>
  <c r="F215" i="31"/>
  <c r="F219" i="31"/>
  <c r="F234" i="31"/>
  <c r="F221" i="31" l="1"/>
  <c r="E113" i="38"/>
  <c r="E146" i="40"/>
  <c r="F267" i="15"/>
  <c r="E156" i="40"/>
  <c r="F277" i="15"/>
  <c r="E380" i="40"/>
  <c r="F501" i="15"/>
  <c r="E376" i="40"/>
  <c r="F497" i="15"/>
  <c r="E372" i="40"/>
  <c r="F493" i="15"/>
  <c r="E155" i="40"/>
  <c r="F276" i="15"/>
  <c r="F502" i="15"/>
  <c r="E381" i="40"/>
  <c r="F498" i="15"/>
  <c r="E377" i="40"/>
  <c r="F494" i="15"/>
  <c r="E373" i="40"/>
  <c r="E144" i="40"/>
  <c r="F265" i="15"/>
  <c r="E378" i="40"/>
  <c r="F499" i="15"/>
  <c r="E374" i="40"/>
  <c r="F495" i="15"/>
  <c r="E370" i="40"/>
  <c r="F491" i="15"/>
  <c r="F500" i="15"/>
  <c r="E379" i="40"/>
  <c r="F496" i="15"/>
  <c r="E375" i="40"/>
  <c r="F492" i="15"/>
  <c r="E371" i="40"/>
  <c r="F217" i="31"/>
  <c r="F268" i="15"/>
  <c r="F269" i="15"/>
  <c r="F280" i="15"/>
  <c r="F479" i="15"/>
  <c r="E358" i="40"/>
  <c r="F475" i="15"/>
  <c r="E354" i="40"/>
  <c r="E361" i="40"/>
  <c r="F482" i="15"/>
  <c r="E357" i="40"/>
  <c r="F478" i="15"/>
  <c r="F481" i="15"/>
  <c r="E360" i="40"/>
  <c r="F477" i="15"/>
  <c r="E356" i="40"/>
  <c r="E359" i="40"/>
  <c r="F480" i="15"/>
  <c r="E355" i="40"/>
  <c r="F476" i="15"/>
  <c r="F227" i="31"/>
  <c r="F415" i="15"/>
  <c r="F412" i="15"/>
  <c r="F423" i="15"/>
  <c r="F407" i="15"/>
  <c r="F422" i="15"/>
  <c r="F403" i="15"/>
  <c r="F285" i="15"/>
  <c r="F416" i="15"/>
  <c r="F279" i="15"/>
  <c r="F427" i="15"/>
  <c r="F419" i="15"/>
  <c r="F411" i="15"/>
  <c r="F404" i="15"/>
  <c r="F428" i="15"/>
  <c r="F420" i="15"/>
  <c r="F414" i="15"/>
  <c r="F406" i="15"/>
  <c r="F417" i="15"/>
  <c r="F424" i="15"/>
  <c r="F408" i="15"/>
  <c r="F270" i="15"/>
  <c r="E149" i="40"/>
  <c r="F273" i="15"/>
  <c r="E152" i="40"/>
  <c r="F281" i="15"/>
  <c r="E160" i="40"/>
  <c r="F272" i="15"/>
  <c r="E151" i="40"/>
  <c r="F278" i="15"/>
  <c r="E157" i="40"/>
  <c r="F238" i="15"/>
  <c r="E161" i="40"/>
  <c r="D283" i="15"/>
  <c r="F461" i="15"/>
  <c r="F457" i="15"/>
  <c r="F450" i="15"/>
  <c r="F442" i="15"/>
  <c r="F434" i="15"/>
  <c r="F394" i="15"/>
  <c r="F386" i="15"/>
  <c r="F378" i="15"/>
  <c r="F370" i="15"/>
  <c r="F362" i="15"/>
  <c r="F354" i="15"/>
  <c r="F346" i="15"/>
  <c r="F338" i="15"/>
  <c r="F330" i="15"/>
  <c r="F322" i="15"/>
  <c r="F314" i="15"/>
  <c r="F306" i="15"/>
  <c r="F298" i="15"/>
  <c r="F290" i="15"/>
  <c r="F464" i="15"/>
  <c r="F460" i="15"/>
  <c r="F456" i="15"/>
  <c r="F448" i="15"/>
  <c r="F440" i="15"/>
  <c r="F432" i="15"/>
  <c r="F400" i="15"/>
  <c r="F392" i="15"/>
  <c r="F384" i="15"/>
  <c r="F376" i="15"/>
  <c r="F368" i="15"/>
  <c r="F360" i="15"/>
  <c r="F352" i="15"/>
  <c r="F344" i="15"/>
  <c r="F336" i="15"/>
  <c r="F328" i="15"/>
  <c r="F320" i="15"/>
  <c r="F312" i="15"/>
  <c r="F304" i="15"/>
  <c r="F296" i="15"/>
  <c r="F288" i="15"/>
  <c r="F453" i="15"/>
  <c r="F449" i="15"/>
  <c r="F445" i="15"/>
  <c r="F441" i="15"/>
  <c r="F437" i="15"/>
  <c r="F433" i="15"/>
  <c r="F401" i="15"/>
  <c r="F397" i="15"/>
  <c r="F393" i="15"/>
  <c r="F389" i="15"/>
  <c r="F385" i="15"/>
  <c r="F381" i="15"/>
  <c r="F377" i="15"/>
  <c r="F373" i="15"/>
  <c r="F369" i="15"/>
  <c r="F365" i="15"/>
  <c r="F361" i="15"/>
  <c r="F357" i="15"/>
  <c r="F353" i="15"/>
  <c r="F349" i="15"/>
  <c r="F345" i="15"/>
  <c r="F341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490" i="15"/>
  <c r="F486" i="15"/>
  <c r="F474" i="15"/>
  <c r="F470" i="15"/>
  <c r="F466" i="15"/>
  <c r="F487" i="15"/>
  <c r="F483" i="15"/>
  <c r="F471" i="15"/>
  <c r="F467" i="15"/>
  <c r="F266" i="15"/>
  <c r="E145" i="40"/>
  <c r="F271" i="15"/>
  <c r="E150" i="40"/>
  <c r="F275" i="15"/>
  <c r="F429" i="15"/>
  <c r="F421" i="15"/>
  <c r="F413" i="15"/>
  <c r="F409" i="15"/>
  <c r="F405" i="15"/>
  <c r="F402" i="15"/>
  <c r="F274" i="15"/>
  <c r="F426" i="15"/>
  <c r="F418" i="15"/>
  <c r="F410" i="15"/>
  <c r="F233" i="15"/>
  <c r="D235" i="15"/>
  <c r="E95" i="40" s="1"/>
  <c r="D234" i="15"/>
  <c r="E94" i="40" s="1"/>
  <c r="F463" i="15"/>
  <c r="F459" i="15"/>
  <c r="F454" i="15"/>
  <c r="F446" i="15"/>
  <c r="F438" i="15"/>
  <c r="F398" i="15"/>
  <c r="F390" i="15"/>
  <c r="F382" i="15"/>
  <c r="F374" i="15"/>
  <c r="F366" i="15"/>
  <c r="F358" i="15"/>
  <c r="F350" i="15"/>
  <c r="F342" i="15"/>
  <c r="F334" i="15"/>
  <c r="F326" i="15"/>
  <c r="F318" i="15"/>
  <c r="F310" i="15"/>
  <c r="F302" i="15"/>
  <c r="F294" i="15"/>
  <c r="F286" i="15"/>
  <c r="F462" i="15"/>
  <c r="F458" i="15"/>
  <c r="F452" i="15"/>
  <c r="F444" i="15"/>
  <c r="F436" i="15"/>
  <c r="F396" i="15"/>
  <c r="F388" i="15"/>
  <c r="F380" i="15"/>
  <c r="F372" i="15"/>
  <c r="F364" i="15"/>
  <c r="F356" i="15"/>
  <c r="F348" i="15"/>
  <c r="F340" i="15"/>
  <c r="F332" i="15"/>
  <c r="F324" i="15"/>
  <c r="F316" i="15"/>
  <c r="F308" i="15"/>
  <c r="F300" i="15"/>
  <c r="F292" i="15"/>
  <c r="F455" i="15"/>
  <c r="F451" i="15"/>
  <c r="F447" i="15"/>
  <c r="F443" i="15"/>
  <c r="F439" i="15"/>
  <c r="F435" i="15"/>
  <c r="F431" i="15"/>
  <c r="F399" i="15"/>
  <c r="F395" i="15"/>
  <c r="F391" i="15"/>
  <c r="F387" i="15"/>
  <c r="F383" i="15"/>
  <c r="F379" i="15"/>
  <c r="F375" i="15"/>
  <c r="F371" i="15"/>
  <c r="F367" i="15"/>
  <c r="F363" i="15"/>
  <c r="F359" i="15"/>
  <c r="F355" i="15"/>
  <c r="F351" i="15"/>
  <c r="F347" i="15"/>
  <c r="F343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488" i="15"/>
  <c r="F484" i="15"/>
  <c r="F472" i="15"/>
  <c r="F468" i="15"/>
  <c r="F489" i="15"/>
  <c r="F485" i="15"/>
  <c r="F473" i="15"/>
  <c r="F469" i="15"/>
  <c r="F465" i="15"/>
  <c r="E137" i="39"/>
  <c r="F245" i="14"/>
  <c r="E136" i="39"/>
  <c r="F244" i="14"/>
  <c r="F470" i="14" s="1"/>
  <c r="E53" i="38"/>
  <c r="F216" i="31"/>
  <c r="E54" i="38"/>
  <c r="E52" i="38"/>
  <c r="D223" i="31"/>
  <c r="E112" i="38"/>
  <c r="E143" i="40"/>
  <c r="F264" i="15"/>
  <c r="F235" i="15" l="1"/>
  <c r="F234" i="15"/>
  <c r="F236" i="15"/>
  <c r="E162" i="40"/>
  <c r="D284" i="15"/>
  <c r="F283" i="15"/>
  <c r="E115" i="38"/>
  <c r="F223" i="31"/>
  <c r="F454" i="31" s="1"/>
  <c r="D132" i="14"/>
  <c r="E54" i="39" s="1"/>
  <c r="E163" i="40" l="1"/>
  <c r="F284" i="15"/>
  <c r="F509" i="15" s="1"/>
  <c r="F258" i="15"/>
  <c r="E23" i="37" s="1"/>
  <c r="J8" i="37"/>
  <c r="F219" i="14"/>
  <c r="E15" i="37" s="1"/>
  <c r="F132" i="14"/>
  <c r="F136" i="14" s="1"/>
  <c r="D179" i="14"/>
  <c r="J23" i="37" l="1"/>
  <c r="G179" i="14"/>
  <c r="E115" i="39"/>
  <c r="G157" i="14"/>
  <c r="G156" i="14"/>
  <c r="G155" i="14"/>
  <c r="G47" i="14"/>
  <c r="G46" i="14"/>
  <c r="G45" i="14"/>
  <c r="G180" i="14" l="1"/>
  <c r="H15" i="37" s="1"/>
  <c r="K8" i="37"/>
  <c r="G159" i="14"/>
  <c r="J15" i="37" s="1"/>
  <c r="G49" i="14"/>
  <c r="B15" i="37" s="1"/>
  <c r="G15" i="37" l="1"/>
  <c r="A15" i="37" l="1"/>
  <c r="N15" i="37" s="1"/>
  <c r="O11" i="37" s="1"/>
  <c r="A1" i="15"/>
  <c r="A1" i="31" s="1"/>
  <c r="J46" i="14" l="1"/>
  <c r="D12" i="14"/>
  <c r="D10" i="14"/>
  <c r="A25" i="14" l="1"/>
  <c r="D23" i="37" l="1"/>
  <c r="K23" i="37" s="1"/>
  <c r="D15" i="37"/>
  <c r="K15" i="37" s="1"/>
  <c r="O10" i="37" l="1"/>
</calcChain>
</file>

<file path=xl/sharedStrings.xml><?xml version="1.0" encoding="utf-8"?>
<sst xmlns="http://schemas.openxmlformats.org/spreadsheetml/2006/main" count="2274" uniqueCount="610">
  <si>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</si>
  <si>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</si>
  <si>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</si>
  <si>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</si>
  <si>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</si>
  <si>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</si>
  <si>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</si>
  <si>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</si>
  <si>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</si>
  <si>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</si>
  <si>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</si>
  <si>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</si>
  <si>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</si>
  <si>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</si>
  <si>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</si>
  <si>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</si>
  <si>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</si>
  <si>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</si>
  <si>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</si>
  <si>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</si>
  <si>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</si>
  <si>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</si>
  <si>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</si>
  <si>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</si>
  <si>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</si>
  <si>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</si>
  <si>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</si>
  <si>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</si>
  <si>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</si>
  <si>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</si>
  <si>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</si>
  <si>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</si>
  <si>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</si>
  <si>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</si>
  <si>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</si>
  <si>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</si>
  <si>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</si>
  <si>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</si>
  <si>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</si>
  <si>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</si>
  <si>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</si>
  <si>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</si>
  <si>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</si>
  <si>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</si>
  <si>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</si>
  <si>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</si>
  <si>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</si>
  <si>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</si>
  <si>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Наименование показателя объема: число мероприятий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</si>
  <si>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</si>
  <si>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</si>
  <si>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</si>
  <si>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</si>
  <si>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</si>
  <si>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</si>
  <si>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</si>
  <si>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</si>
  <si>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</si>
  <si>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</si>
  <si>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</si>
  <si>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</si>
  <si>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</si>
  <si>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</si>
  <si>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</si>
  <si>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4 коммандировки в год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</si>
  <si>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</si>
  <si>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</si>
  <si>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</si>
  <si>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</si>
  <si>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</si>
  <si>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</si>
  <si>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</si>
  <si>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</si>
  <si>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</si>
  <si>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</si>
  <si>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</si>
  <si>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</si>
  <si>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</si>
  <si>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</si>
  <si>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</si>
  <si>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</si>
  <si>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</si>
  <si>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</si>
  <si>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</si>
  <si>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</si>
  <si>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</si>
  <si>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</si>
  <si>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</si>
  <si>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</si>
  <si>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</si>
  <si>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</si>
  <si>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</si>
  <si>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Рекомендуемый метод распределения общ-х затрат: анологично распределению затрат на выполнение работы</t>
  </si>
  <si>
    <t>Затраты, непосредственно связанные с выполнением работы руб.</t>
  </si>
  <si>
    <t xml:space="preserve">запланированное число участников 840 человек   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</si>
  <si>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</si>
  <si>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</si>
  <si>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</si>
  <si>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</si>
  <si>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</si>
  <si>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</si>
  <si>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</si>
  <si>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</si>
  <si>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</si>
  <si>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</si>
  <si>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</si>
  <si>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</si>
  <si>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</si>
  <si>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</si>
  <si>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</si>
  <si>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</si>
  <si>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</si>
  <si>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</si>
  <si>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</si>
  <si>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</si>
  <si>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уп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</si>
  <si>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</si>
  <si>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</si>
  <si>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</si>
  <si>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</si>
  <si>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>Наименование показателя объема : колличество мероприятий (штук)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</si>
  <si>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</si>
  <si>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</si>
  <si>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</si>
  <si>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</si>
  <si>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</si>
  <si>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</si>
  <si>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</si>
  <si>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</si>
  <si>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>Организация питания участников мероприятия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</si>
  <si>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</si>
  <si>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</si>
  <si>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</si>
  <si>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</si>
  <si>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</si>
  <si>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</si>
  <si>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</si>
  <si>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</si>
  <si>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</si>
  <si>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</si>
  <si>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</si>
  <si>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</si>
  <si>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</si>
  <si>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</si>
  <si>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</si>
  <si>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</si>
  <si>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</si>
  <si>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</si>
  <si>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</si>
  <si>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</si>
  <si>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</si>
  <si>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</si>
  <si>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</si>
  <si>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</si>
  <si>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</si>
  <si>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</si>
  <si>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</si>
  <si>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</si>
  <si>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</si>
  <si>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</si>
  <si>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</si>
  <si>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</si>
  <si>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</si>
  <si>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</si>
  <si>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</si>
  <si>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</si>
  <si>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</si>
  <si>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</si>
  <si>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</si>
  <si>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</si>
  <si>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</si>
  <si>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</si>
  <si>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</si>
  <si>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</si>
  <si>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</si>
  <si>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</si>
  <si>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</si>
  <si>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</si>
  <si>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</si>
  <si>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</si>
  <si>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</si>
  <si>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</si>
  <si>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</si>
  <si>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</si>
  <si>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</si>
  <si>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</si>
  <si>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</si>
  <si>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</si>
  <si>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Договор ВЗ (связь по краю)</t>
  </si>
  <si>
    <t>Абоненская плата за услуги связи, номеров</t>
  </si>
  <si>
    <t>Абоненская плата за услуги Интернет кайтнет</t>
  </si>
  <si>
    <t>Почтовые услуги</t>
  </si>
  <si>
    <t>Количество платежей в год</t>
  </si>
  <si>
    <t>ГСМ 12,1457л.*247дней*44,27 руб.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</si>
  <si>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</si>
  <si>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</si>
  <si>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</si>
  <si>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Рамки А4 для дипломов</t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</si>
  <si>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</si>
  <si>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</si>
  <si>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</si>
  <si>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</si>
  <si>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</si>
  <si>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</si>
  <si>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</si>
  <si>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Затраты разносятся между работами пропорционально колличеству участников мероприятий на 2019 год 840 чел</t>
  </si>
  <si>
    <t>Планируемое число  в год: 38 колличество мероприятий (штук)(показатель объема услуги - задание)</t>
  </si>
  <si>
    <t>Рабочих часов в год: 1 772,4 часа – производственный календарь на 2019 год</t>
  </si>
  <si>
    <t>(1 772,4 часа ×</t>
  </si>
  <si>
    <t>1 772,4 часов)</t>
  </si>
  <si>
    <r>
      <t xml:space="preserve">4 = 3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>1 772,4</t>
    </r>
  </si>
  <si>
    <t>(плановое задание 2019 года)</t>
  </si>
  <si>
    <t>Наименование показателяобъема : количество мероприятий (штук)</t>
  </si>
  <si>
    <t>Планируемое число  в год: 28 колличество мероприятий (штук)(показатель объема услуги - задание)</t>
  </si>
  <si>
    <t xml:space="preserve">запланированное число участников 1010 человек   </t>
  </si>
  <si>
    <t>4 = 3 × 1 772,4</t>
  </si>
  <si>
    <t>Заведующий МЦ</t>
  </si>
  <si>
    <t>Планируемое число  в год:  26  колличество мероприятий (штук)(показатель объема услуги - задание)</t>
  </si>
  <si>
    <t xml:space="preserve">запланированное число участников 660 человек   </t>
  </si>
  <si>
    <t>Участие молодежи Северо-Енисейского района в проекте Новый фарватер</t>
  </si>
  <si>
    <t>Проживание 3 суток</t>
  </si>
  <si>
    <t>Суточные (5 подростков)</t>
  </si>
  <si>
    <t xml:space="preserve">Молодежная премия Главы Северо-Енисейского района </t>
  </si>
  <si>
    <t>Подарочные наборы</t>
  </si>
  <si>
    <t>РДШ. Проведение Зимнего Фестиваля РДШ</t>
  </si>
  <si>
    <t>Расходные материалы и сувениры для проведения мероприятий в течение года</t>
  </si>
  <si>
    <t>Сувениры</t>
  </si>
  <si>
    <t>Суточные</t>
  </si>
  <si>
    <t>Проезд</t>
  </si>
  <si>
    <t>Проживание (гостиница)</t>
  </si>
  <si>
    <t>Проживание (квартирные)</t>
  </si>
  <si>
    <t>сутки</t>
  </si>
  <si>
    <t>10 командировок</t>
  </si>
  <si>
    <t>10 коммандировок в год</t>
  </si>
  <si>
    <t>10 команд</t>
  </si>
  <si>
    <t>6=5*0,335</t>
  </si>
  <si>
    <t>6=5*0,402</t>
  </si>
  <si>
    <t>6=5*0,263</t>
  </si>
  <si>
    <t>Водоснабжение 1 полугодие</t>
  </si>
  <si>
    <t>Водоснабжение 2 полугодие</t>
  </si>
  <si>
    <t>Водоотведение (септик)  откачка асс. машиной 6 раз в год</t>
  </si>
  <si>
    <t>м3</t>
  </si>
  <si>
    <t>КВТ/ч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</si>
  <si>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</si>
  <si>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</si>
  <si>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Праздничное мероприятие, посвященное Дню памяти войнов-интернационалистов</t>
  </si>
  <si>
    <t>Сетевая акция «Георгиевская ленточка»</t>
  </si>
  <si>
    <t>Георгиевская ленточка (бабина)</t>
  </si>
  <si>
    <t>Жилет "Волонтеры Победы"</t>
  </si>
  <si>
    <t>Акция «Бессмертный полк».</t>
  </si>
  <si>
    <t>Сетевая акция «Свеча Памяти»</t>
  </si>
  <si>
    <t>Баннер</t>
  </si>
  <si>
    <t xml:space="preserve">Конкурс на лучшую полевую кухню в рамках Всероссийской акции «Солдатская каша». </t>
  </si>
  <si>
    <t>Организация этно-краеведческого квеста на фестивале СЭВЭКИ</t>
  </si>
  <si>
    <t>Футболки</t>
  </si>
  <si>
    <t>Проведение муниципального этапа военно-патриотической игры «Сибирский щит».</t>
  </si>
  <si>
    <t>Футболка поло для судей</t>
  </si>
  <si>
    <t>Фестиваль «Живая история». Военно-исторический форум в рамках празднования Дня народного единства.</t>
  </si>
  <si>
    <t>Участие молодежи района в Окружном Слете поисковых отрядов Сибирского округа (Емельяново)</t>
  </si>
  <si>
    <t xml:space="preserve"> проезд подростков</t>
  </si>
  <si>
    <t>Суточные (3 подростков)</t>
  </si>
  <si>
    <t>Участие молодежи района в закрытии Вахты Памяти</t>
  </si>
  <si>
    <t>Суточные (2 подростков)</t>
  </si>
  <si>
    <t>Участие в летней Вахте Памяти</t>
  </si>
  <si>
    <t>Проживание 6 суток</t>
  </si>
  <si>
    <t>Приобретение экипировки для участников Вахты Памяти</t>
  </si>
  <si>
    <t>Участие команды молодежи района в окружном турнире по современному мечевому бою</t>
  </si>
  <si>
    <t>Участие членов движения ЮНАРМИЯ в лагере ЦДП "Юнармия" (Емельяново)</t>
  </si>
  <si>
    <t>Проживание 4 суток</t>
  </si>
  <si>
    <t>Суточные (4 суток)</t>
  </si>
  <si>
    <t>Участие членов движения ЮНАРМИЯ в слете актива движения (Емельяново)</t>
  </si>
  <si>
    <t>Участие команды района в окружном этапе военно-спортивной игры "Сибирский щит"</t>
  </si>
  <si>
    <t xml:space="preserve"> проезд подростков и сопровождающего от школы</t>
  </si>
  <si>
    <t>Участие подростков, участников ВПК в сдаче на право ношения спецжетона КРОО "Ветераны Спецназа" г. Красноярск</t>
  </si>
  <si>
    <t xml:space="preserve">Участие молодежи района в весенней Вахте Памяти </t>
  </si>
  <si>
    <t>Участие молодежи района в полевом лагере ЕРМАК (Ермаковский район)</t>
  </si>
  <si>
    <t>Организация работы "Трудовых отрядов старшеклассников"</t>
  </si>
  <si>
    <t>Перчатки</t>
  </si>
  <si>
    <t>Дождевики</t>
  </si>
  <si>
    <t>Чемпионат добровольческих отрядов</t>
  </si>
  <si>
    <t>Расходные материалы для проведения мероприятий в течение года</t>
  </si>
  <si>
    <t>Рамки для дипломов, А4</t>
  </si>
  <si>
    <t>Абоненская плата за услуги Интернет ИП Крамаренко:</t>
  </si>
  <si>
    <t>Тариф Бизнес начальный</t>
  </si>
  <si>
    <t>Тариф Бизнес</t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</si>
  <si>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</si>
  <si>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</si>
  <si>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</si>
  <si>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</si>
  <si>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</si>
  <si>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</si>
  <si>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>выплата пособия на период трудоустройства (Остропицкая)</t>
  </si>
  <si>
    <t>выплата пособия на период трудоустройства (Королёва)</t>
  </si>
  <si>
    <t>выплата пособия на период трудоустройства (Ахмерова)</t>
  </si>
  <si>
    <t xml:space="preserve">Обслуживание систем пожарной сигнализации  </t>
  </si>
  <si>
    <t xml:space="preserve">Обслуживание систем видеонаблюдения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</si>
  <si>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</si>
  <si>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</si>
  <si>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</si>
  <si>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</si>
  <si>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Microsoft Windows</t>
  </si>
  <si>
    <t>Microsoft Offise</t>
  </si>
  <si>
    <t>Dr Web Security</t>
  </si>
  <si>
    <t>Dr Web Security Spase</t>
  </si>
  <si>
    <t>ПУГНП</t>
  </si>
  <si>
    <t>пакет майка</t>
  </si>
  <si>
    <t>розетка</t>
  </si>
  <si>
    <t>Вилка евро</t>
  </si>
  <si>
    <t>розетка "Пралеска"</t>
  </si>
  <si>
    <t>лампа "Онлайт"</t>
  </si>
  <si>
    <t>пугнп</t>
  </si>
  <si>
    <t>светильник точечный</t>
  </si>
  <si>
    <t>эмаль аэрозоль</t>
  </si>
  <si>
    <t>пила сегментная</t>
  </si>
  <si>
    <t>комплект крепежей для батареи</t>
  </si>
  <si>
    <t>набор для радиатора</t>
  </si>
  <si>
    <t>Прожектор светодиодный</t>
  </si>
  <si>
    <t>скотч 48 мм</t>
  </si>
  <si>
    <t>скотч армированный</t>
  </si>
  <si>
    <t>эмаль аэрозоль металлик</t>
  </si>
  <si>
    <t>эмаль аэрозоль коричн</t>
  </si>
  <si>
    <t>эмаль разн цвет</t>
  </si>
  <si>
    <t>скоба</t>
  </si>
  <si>
    <t>стяжка для провода</t>
  </si>
  <si>
    <t>дюбель</t>
  </si>
  <si>
    <t>бокорезы</t>
  </si>
  <si>
    <t>плоскогубцы</t>
  </si>
  <si>
    <t>бита</t>
  </si>
  <si>
    <t>угольник</t>
  </si>
  <si>
    <t>штангенциркуль</t>
  </si>
  <si>
    <t>пугнп 2*1,5</t>
  </si>
  <si>
    <t>пугнп 2*2,5</t>
  </si>
  <si>
    <t>зажимы</t>
  </si>
  <si>
    <t>коробка установочная</t>
  </si>
  <si>
    <t>вилка прямая</t>
  </si>
  <si>
    <t>вилка белая</t>
  </si>
  <si>
    <t>саморез 3,5*51</t>
  </si>
  <si>
    <t>саморез 4,2*70</t>
  </si>
  <si>
    <t>набор пилок</t>
  </si>
  <si>
    <t>комплект радиатора</t>
  </si>
  <si>
    <t>кран шаровый</t>
  </si>
  <si>
    <t>Лопата</t>
  </si>
  <si>
    <t>Пружина</t>
  </si>
  <si>
    <t>Чехол для кресла-мешка</t>
  </si>
  <si>
    <t>Наполнитель для кресла-мешка</t>
  </si>
  <si>
    <t>Фотобумага IST глянцевая 100 листов односторонняя 230гр/м</t>
  </si>
  <si>
    <t>Фотобумага IST глянцевая 100 листов односторонняя 180гр/м</t>
  </si>
  <si>
    <t>Фотобумага IST глянцевая 100 листов односторонняя 190гр/м</t>
  </si>
  <si>
    <t>Тонер ECOSYS</t>
  </si>
  <si>
    <t>Картридж НР С2Р42АЕ</t>
  </si>
  <si>
    <t>Аккумулятор X-TREME Arctik  78.1</t>
  </si>
  <si>
    <t>Амортизатор УАЗ 3159 задн. TRIALLI газомасл.3159-2915006 (3159-2915006)</t>
  </si>
  <si>
    <t>Болт М10*1*25 кардана УАЗ в/сб(уп. 20 шт)</t>
  </si>
  <si>
    <t>Винт М8*1,25*12 потай шлиц.торм.барабана Волга Г-2410 290605 (290605-п29)</t>
  </si>
  <si>
    <t>Вкладыш шкворня УАЗ-3160(латунь н/о 2 усика)3160 2304023-10 (3160 2304023-10)</t>
  </si>
  <si>
    <t>Втулка амортизатора Волга ,УАЗ полиуретан 451-2905432 (451-2905432)</t>
  </si>
  <si>
    <t>Гайка колесная  М14*1,5 (18, ключ 22) Волга, Соболь, УАЗ</t>
  </si>
  <si>
    <t>Катушка зажигания 405 дв.(АТЭ-1)3032.3705 (3032.3705)</t>
  </si>
  <si>
    <t>Колодка переднего тормоза (к-т 4 шт.)УАЗ Оригинал(ТИИР) 3163 3501088 (3163 3501088)</t>
  </si>
  <si>
    <t>Кольцо крестовины карданного вала</t>
  </si>
  <si>
    <t>Комплект ГРМ(полный)ЗМЗ 405-409 ЕВРО-3 "Идеальная фаза"(двухрядная цепь 72/92 Ditton)406.3906625-05 (406.3906625-05)</t>
  </si>
  <si>
    <t>Комплект прокладок на дв.4091 Саморим УАЗ 452</t>
  </si>
  <si>
    <t>Крестовина кардан.вала УАЗ(АДС)с масленкой и стопорными кольцами 42000.0469-2201025-00 (ВК469-2201025)</t>
  </si>
  <si>
    <t>Накладка педали сцепления УАЗ 2206</t>
  </si>
  <si>
    <t>Наконечник рулевой тяги левый "АДС-Expert" 469-3414057-01 (469-3414057-01)</t>
  </si>
  <si>
    <t>Наконечник рулевой тяги правый "АДС-Expert" 469-3414056-01 (469-3414056-01)</t>
  </si>
  <si>
    <t>Патрубки радиатора УАЗ Патриот 409дв.без кондиционера(силикон)(к-т 3шт)</t>
  </si>
  <si>
    <t>Подшипник ступичный 127509</t>
  </si>
  <si>
    <t>Провода в/в 4091 дв.с наконеч.силикон.4091-3707244 (4091-3707244)</t>
  </si>
  <si>
    <t>Прокладка крышки полуоси(паронит)3151-2407048 (3151-2407048)</t>
  </si>
  <si>
    <t>Ремень (1275  мм 6РК) ЗМЗ-40524, 40525 ЕВРО -3 без ГУР "LUZAR" (40624 1308020-01)</t>
  </si>
  <si>
    <t>Ремень 1195 - 6 РК привода ГУР "OLEX POLY V BELT"3163-00-1308020-02 (3163-00-1308020-02)</t>
  </si>
  <si>
    <t>Ремень буксировочный 6/9т 6м (а/м до 3т)  Крюк/Крюк +сумка(олива) Tplus</t>
  </si>
  <si>
    <t>Ремкомплект поворотного кулака УАЗ мост Спайсер с полиуретановым сальником 3160-2304052 (3160-2304052)</t>
  </si>
  <si>
    <t>Ремкомплект шкворня УАЗ Хантер,Патриот мост Спайсер н/о(2 уса) с вкладышами)"Ваксойл"3163-230401 (3163-230401)</t>
  </si>
  <si>
    <t>Сайлентблок передней подвески УАЗ резинометаллический (малый) 3160-2909027 (3160-2909027)</t>
  </si>
  <si>
    <t>Сайлентблок рессоры УАЗ-Патриот 3163(завод)3163-2912020 (3163-2912020)</t>
  </si>
  <si>
    <t>Сальник (55х70х8) коленвала передний 406дв."Кортеко"(Германия)406.1005034-02 (406.1005034-02)</t>
  </si>
  <si>
    <t>Сальник (60х85х10) ступицы  NAK International 3741-3103038 (3741-3103038)</t>
  </si>
  <si>
    <t>Сальник к/вала задний 100л.с. 80х100х10(NAK intarnational)</t>
  </si>
  <si>
    <t>Сальник хвостовика 42х68х 10/14,5 усиленный "NAK"3741-00-1701210-03 (3741-00-1701210-03)</t>
  </si>
  <si>
    <t>Сальник шруса (в мет. обойме)(32х50х10)(19000078)3741-2304071 (3741-2304071)</t>
  </si>
  <si>
    <t>Свеча зажигания DENSO  Q16ТТ#4  4607#4 (1 шт.)</t>
  </si>
  <si>
    <t>Скоба омегообр. с резьбой г/п 2,0т тип G 209 ХЛ</t>
  </si>
  <si>
    <t>Строп динамический (рывковый) 6т,  9 м, серия "Стандарт" TPlus</t>
  </si>
  <si>
    <t>Ступица заднего колеса УАЗ-3163(с имп.диском в сборе АБС)3163-3104006 (3163-3104006)</t>
  </si>
  <si>
    <t>Сцепление к-т ЗМЗ-409"LUK"(с выжимным подшипником АДС)3163 06 1601006 (3163 06 1601006)</t>
  </si>
  <si>
    <t>Термостат Т-118 t-87 (УМЗ4216) Электон  Т118-1306100-04</t>
  </si>
  <si>
    <t>Тормозная жидкость G-Energy EXPERT DOT4 (0.910кг)</t>
  </si>
  <si>
    <t>Уплотнитель свечного колодца 406 дв.(ЕВРО-2)(Силикон синий) 406.1007248-10 (406.1007248-10)</t>
  </si>
  <si>
    <t>Утеплитель лобовой наружный с дверями УАЗ-452(ватин/венил/кожа)</t>
  </si>
  <si>
    <t>Фильтр масляный MANN-FILTER W 914/2(W 812)(W 813)(W 914/2 n)(W 914/5)"10"</t>
  </si>
  <si>
    <t>Фильтр топливный УАЗ ( инжектор штуцера с резьбой)УАЗ Оригиннал 3151-96-1117010 (3151-96-1117010)</t>
  </si>
  <si>
    <t>Цилиндр тормозной задний УАЗ 3160,3162 Патриот(d=28мм)KNU 3160 3502040 (3160 3502040)</t>
  </si>
  <si>
    <t>Шакл (скоба омегообр. с резьбой г/п 3,25т)тип G209 ХЛ</t>
  </si>
  <si>
    <t>Шкив помпы 406 дв текстолит 406.1308025-10 ( 406.1308025-10)</t>
  </si>
  <si>
    <t>Шланг тормозной задний УАЗ-452 инжектор.ЕВРО-4 3962-3506061 (3962-3506061)</t>
  </si>
  <si>
    <t>Шланг тормозной передний УАЗ-452 инжектор Евро-4 3962-3506060 (3962-3506060)</t>
  </si>
  <si>
    <t>Шпилька колеса М 14х1,5х45  ГАЗ 2410,УАЗ 20-3103008-Б (20-3103008-Б)</t>
  </si>
  <si>
    <t>Элемент воздушного фильтра УАЗ 452 инжектор 4213,409 (низкий)Цитрон 9.1.97 1109080 (9.1.97 1109080)</t>
  </si>
  <si>
    <t>Кран шаровый</t>
  </si>
  <si>
    <t>Вода дист</t>
  </si>
  <si>
    <t>Кислота серная</t>
  </si>
  <si>
    <t>Пакеты майка</t>
  </si>
  <si>
    <t>Уголок мебельный</t>
  </si>
  <si>
    <t>Саморез по гипсокартону</t>
  </si>
  <si>
    <t>ТКО</t>
  </si>
  <si>
    <t>Покраска переднего бампера</t>
  </si>
  <si>
    <t>Покраска капота</t>
  </si>
  <si>
    <t>Покраска переднего левого крыла</t>
  </si>
  <si>
    <t>Покраска переднего правого крыла</t>
  </si>
  <si>
    <t>Покраска передней левой двери</t>
  </si>
  <si>
    <t>Покраска двери передней правой</t>
  </si>
  <si>
    <t>Покраска стойки правой</t>
  </si>
  <si>
    <t>Ремонт заднего бампера</t>
  </si>
  <si>
    <t>Покраска заднего бампера</t>
  </si>
  <si>
    <t>Полировка кузова</t>
  </si>
  <si>
    <t>Покраска крышки багажника</t>
  </si>
  <si>
    <t>Полировка стекол со снятием</t>
  </si>
  <si>
    <t>Слесарные работы по восстановлению сидений</t>
  </si>
  <si>
    <t>Ремонт электрогитары</t>
  </si>
  <si>
    <t>Ремонт акустической системы</t>
  </si>
  <si>
    <t>Ремонт комбо басовый</t>
  </si>
  <si>
    <t>Ремонт Гитарного комбоусителя</t>
  </si>
  <si>
    <t>Ремонт аккустической системы</t>
  </si>
  <si>
    <t>Организация светового сопровождения мероприятия</t>
  </si>
  <si>
    <t>Доместос</t>
  </si>
  <si>
    <t>Белизна</t>
  </si>
  <si>
    <t xml:space="preserve">Пемолюкс </t>
  </si>
  <si>
    <t>Мыло</t>
  </si>
  <si>
    <t>Стеклоочиститель с распылителем</t>
  </si>
  <si>
    <t>Стеклоочиститель (сменный блок)</t>
  </si>
  <si>
    <t>Губки</t>
  </si>
  <si>
    <t>Моющее средство МИФ</t>
  </si>
  <si>
    <t>Тряпка вискозная</t>
  </si>
  <si>
    <t>Тряпки</t>
  </si>
  <si>
    <t>Полотенца бумажные</t>
  </si>
  <si>
    <t>Железная губка</t>
  </si>
  <si>
    <t>Блок гигиенический для унитаза</t>
  </si>
  <si>
    <t>Мешки для мусора 60 л</t>
  </si>
  <si>
    <t>Мешки для мусора 120 л</t>
  </si>
  <si>
    <t>Мешки для мусора 35 л</t>
  </si>
  <si>
    <t>Туалетная бумага</t>
  </si>
  <si>
    <t>Салфетка</t>
  </si>
  <si>
    <t>Пакет</t>
  </si>
  <si>
    <t>Жидкое мыло</t>
  </si>
  <si>
    <t>Стеклоочиститель</t>
  </si>
  <si>
    <t>Блок для записи маленький</t>
  </si>
  <si>
    <t>Блок для записи большой</t>
  </si>
  <si>
    <t>Скрепки</t>
  </si>
  <si>
    <t>Кнопки</t>
  </si>
  <si>
    <t>Степлер №10</t>
  </si>
  <si>
    <t>Степлер №24</t>
  </si>
  <si>
    <t>Степлер №21</t>
  </si>
  <si>
    <t>Скобы для степлера (большие)</t>
  </si>
  <si>
    <t>Скобы для степлера (маленькие)</t>
  </si>
  <si>
    <t>Ножницы маленькие</t>
  </si>
  <si>
    <t xml:space="preserve">Ножницы большие </t>
  </si>
  <si>
    <t>Ножницы</t>
  </si>
  <si>
    <t>Линейка 40 см</t>
  </si>
  <si>
    <t>Линейка 30 см</t>
  </si>
  <si>
    <t>Линейка 20 см</t>
  </si>
  <si>
    <t>Маркер черный толстый</t>
  </si>
  <si>
    <t>Маркер черный тонкий</t>
  </si>
  <si>
    <t>Маркер (набор)</t>
  </si>
  <si>
    <t>Маркер красный</t>
  </si>
  <si>
    <t>Маркер (синий)</t>
  </si>
  <si>
    <t>Клей маленький</t>
  </si>
  <si>
    <t>Клей большой</t>
  </si>
  <si>
    <t>Резак для резки бумаги</t>
  </si>
  <si>
    <t>Краска</t>
  </si>
  <si>
    <t>Зажим маленький</t>
  </si>
  <si>
    <t>Зажим большой</t>
  </si>
  <si>
    <t>Корректор ручка</t>
  </si>
  <si>
    <t>Корректор с кистью</t>
  </si>
  <si>
    <t>Скотч</t>
  </si>
  <si>
    <t>Нож канцелярский</t>
  </si>
  <si>
    <t>Нитки для сшивания (толстые)</t>
  </si>
  <si>
    <t>Шило</t>
  </si>
  <si>
    <t>Дырокол на 10 листов металл.</t>
  </si>
  <si>
    <t>Дырокол на 70 листов черный</t>
  </si>
  <si>
    <t>Карандаш простой</t>
  </si>
  <si>
    <t>Ручка</t>
  </si>
  <si>
    <t>Полотенце</t>
  </si>
  <si>
    <t>Комплект веник-совок</t>
  </si>
  <si>
    <t>Насадки на швабру</t>
  </si>
  <si>
    <t>Бумага Svetocopy</t>
  </si>
  <si>
    <t>Папка накопитель</t>
  </si>
  <si>
    <t>Набор пил колец</t>
  </si>
  <si>
    <t>Клей</t>
  </si>
  <si>
    <t>Крышка горловины</t>
  </si>
  <si>
    <t>папка скоросшиватель</t>
  </si>
  <si>
    <t>Оплата гос пошлины</t>
  </si>
  <si>
    <t xml:space="preserve">Оплата за негативное воздействие </t>
  </si>
  <si>
    <t>Статуэтки Ника для вручения премия Главы с шильдой</t>
  </si>
  <si>
    <t>Толстовки синие с капюш., без молнии, нанесение спина/грудь</t>
  </si>
  <si>
    <t>Баннер "ПрессВолл"</t>
  </si>
  <si>
    <t>Магнитный пазл "Карта района"</t>
  </si>
  <si>
    <t>Банер "Мечевой бой"</t>
  </si>
  <si>
    <t>Полотно для прессвола</t>
  </si>
  <si>
    <t>Банер "Трудовой отряд"</t>
  </si>
  <si>
    <t>Бейдж пластик на ленте "Молодежная премия"</t>
  </si>
  <si>
    <t>Банер 2*2 люверсы</t>
  </si>
  <si>
    <t>Хэштег фанера</t>
  </si>
  <si>
    <t>Ручка пластиковая с логотипом МЦ</t>
  </si>
  <si>
    <t>Значок РДШ, d56</t>
  </si>
  <si>
    <t>Блокнот А5 с логотипом МЦ</t>
  </si>
  <si>
    <t>Дискокаток</t>
  </si>
  <si>
    <t>оказание гостиничных услуг</t>
  </si>
  <si>
    <t>Проезд к месту учебы</t>
  </si>
  <si>
    <t>Прессвол РОР-АР 3,5*2,3м</t>
  </si>
  <si>
    <t>плинтус кабель-канал</t>
  </si>
  <si>
    <t>валик малярный L</t>
  </si>
  <si>
    <t>валик малярный профи</t>
  </si>
  <si>
    <t>кабель-канал</t>
  </si>
  <si>
    <t>ванночка малярная</t>
  </si>
  <si>
    <t>шайба крановая</t>
  </si>
  <si>
    <t>Папка-регистратор</t>
  </si>
  <si>
    <t>Блок питания</t>
  </si>
  <si>
    <t>Кабель</t>
  </si>
  <si>
    <t>Карта памяти</t>
  </si>
  <si>
    <t>Бумага Lomond 230</t>
  </si>
  <si>
    <t>Бумага Lomond 140</t>
  </si>
  <si>
    <t>Бумага Lomond 200</t>
  </si>
  <si>
    <t>Бумага Cactus 180</t>
  </si>
  <si>
    <t>Бумага Cactus 230</t>
  </si>
  <si>
    <t>Медаль с подвесом, гравированная, футляр</t>
  </si>
  <si>
    <t xml:space="preserve">Фотобумага IST глянцевая односторонняя, А4 (21х29,7), 150 гр/м2, 100 листов </t>
  </si>
  <si>
    <t>Пленка для ламинирования Cactus 80мкм A4 (100шт) глянцевая 216x303мм CS-LPGA480100</t>
  </si>
  <si>
    <t>Чернила для заправки Canon PIXMA G3400 пигментные + водные InkTec, комплект 4 х 100 мл</t>
  </si>
  <si>
    <t>Лампада с вкладышем</t>
  </si>
  <si>
    <t>Парафиновый вкладыш</t>
  </si>
  <si>
    <t>Договор осмотр технического состояния автомобиля</t>
  </si>
  <si>
    <t>Разбор и сбор моста</t>
  </si>
  <si>
    <t>Правка передней оси под прессом</t>
  </si>
  <si>
    <t>Ремонт шкворня</t>
  </si>
  <si>
    <t>Ремонт поворотной цапфы</t>
  </si>
  <si>
    <t>Восстановление площадки под крепление рессор</t>
  </si>
  <si>
    <t>Обработка абразивным кругом</t>
  </si>
  <si>
    <t>Ремонт шестерней редуктора</t>
  </si>
  <si>
    <t>Ремонт главной пары передний и задний мост</t>
  </si>
  <si>
    <t>Ремонт микшера (USB канал)</t>
  </si>
  <si>
    <t>Ремонт микшера (сгоревшие каналы)</t>
  </si>
  <si>
    <t>Бумага офисная А3</t>
  </si>
  <si>
    <t>Бумага Lomond А3</t>
  </si>
  <si>
    <t>Блокнот для флипчарта</t>
  </si>
  <si>
    <t>Чернила для заправки комплект</t>
  </si>
  <si>
    <t xml:space="preserve">Лампады </t>
  </si>
  <si>
    <t>Георгиевская лента 100м</t>
  </si>
  <si>
    <t>Приложение № 2</t>
  </si>
  <si>
    <t>Работа на базе Молодежного центра творческой мастерской для молодых семей</t>
  </si>
  <si>
    <t>Форма РККА комплект</t>
  </si>
  <si>
    <t>Каска</t>
  </si>
  <si>
    <t>м</t>
  </si>
  <si>
    <t>Суточные штатный сопровождающий</t>
  </si>
  <si>
    <t>Проезд, квартирные штатный  сопровождающий</t>
  </si>
  <si>
    <t>Квартирные штатный  сопровождающий</t>
  </si>
  <si>
    <t xml:space="preserve">проезд  сопровождающего </t>
  </si>
  <si>
    <t>Проживание 3 суток сопровождающий</t>
  </si>
  <si>
    <t>Суточные (4 суток сопровождающий)</t>
  </si>
  <si>
    <t>Суточные (2 подростка)</t>
  </si>
  <si>
    <t>Ботинки летние Ларгос Армия</t>
  </si>
  <si>
    <t>Ботинки летние Ларгос Омон</t>
  </si>
  <si>
    <t>Коврик туристический</t>
  </si>
  <si>
    <t>Костюм Горка-5</t>
  </si>
  <si>
    <t>Палатка</t>
  </si>
  <si>
    <t>Плащ ветро-влагозащитный</t>
  </si>
  <si>
    <t>Рюкзак</t>
  </si>
  <si>
    <t>Сапоги Дарина</t>
  </si>
  <si>
    <t>Сапоги Ястреб</t>
  </si>
  <si>
    <t>Сиденье туристическое</t>
  </si>
  <si>
    <t>Спальный мешок</t>
  </si>
  <si>
    <t>Чемпионат по офисным видам спорта</t>
  </si>
  <si>
    <t>Подставки (стекло, шильд, гравировка)</t>
  </si>
  <si>
    <t xml:space="preserve">подарочный сертификат </t>
  </si>
  <si>
    <t>абонемент подарочный</t>
  </si>
  <si>
    <t xml:space="preserve">эмаль для окраски </t>
  </si>
  <si>
    <t>Флеш Карты USB 8 GB</t>
  </si>
  <si>
    <t>Обучение персонала и тепловые сети</t>
  </si>
  <si>
    <t>обучение персонала</t>
  </si>
  <si>
    <t>изготовление плакетки, печать дипломов, изготовление значков</t>
  </si>
  <si>
    <t xml:space="preserve">прохождение мед осмотра при устройстве на работу </t>
  </si>
  <si>
    <t>Прохождение предварительного мед осмотра</t>
  </si>
  <si>
    <t>Организация питания воинов-интернационалистов</t>
  </si>
  <si>
    <t>Мед осмотр водителя</t>
  </si>
  <si>
    <t>смазка, мешки д/мусора, манжета</t>
  </si>
  <si>
    <t>ГСМ Дизтопливо</t>
  </si>
  <si>
    <t>грабли, черенок, лопата</t>
  </si>
  <si>
    <t>Саморез со сверлом</t>
  </si>
  <si>
    <t>Гвозди 1 кг</t>
  </si>
  <si>
    <t>гвозди строит</t>
  </si>
  <si>
    <t>Помпа дополнительная</t>
  </si>
  <si>
    <t>уголок крепежный</t>
  </si>
  <si>
    <t>саморез</t>
  </si>
  <si>
    <t>стяжка для проводов</t>
  </si>
  <si>
    <t>Стойки, втулки Хёндай</t>
  </si>
  <si>
    <t xml:space="preserve">хозяйственно-бытовые товары </t>
  </si>
  <si>
    <t>антифриз для УАЗ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</si>
  <si>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</si>
  <si>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</si>
  <si>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</si>
  <si>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</si>
  <si>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</si>
  <si>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 xml:space="preserve"> к Приказу отдела физической культуры, спорта и молодежной политики Северо-Енисейского района от  30.09.2019 № 77-ОС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(услугам)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                                                           </t>
  </si>
  <si>
    <t>Приложение №1 к приложению 1  к Приказу отдела физической культуры, спорта и молодежной политики Северо-Енисейского района от  30.09.2019 № 77-ОС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</si>
  <si>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t>
  </si>
  <si>
    <t>Средства на повышение с 1 октября 2019 года на 4,3 процента заработной платы работников бюджетной сферы</t>
  </si>
  <si>
    <t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t>
  </si>
  <si>
    <t>6 = 4 * 12 * 1,302+5</t>
  </si>
  <si>
    <t>на 30.09.2019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</si>
</sst>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₽_-;\-* #,##0.00_₽_-;_-* &quot;-&quot;??_₽_-;_-@_-"/>
    <numFmt numFmtId="165" formatCode="_-* #,##0.00_р_._-;\-* #,##0.00_р_._-;_-* &quot;-&quot;??_р_._-;_-@_-"/>
    <numFmt numFmtId="166" formatCode="#,##0.0"/>
    <numFmt numFmtId="167" formatCode="#,##0.00000"/>
    <numFmt numFmtId="168" formatCode="0.000"/>
    <numFmt numFmtId="169" formatCode="#,##0.000"/>
    <numFmt numFmtId="170" formatCode="#,##0.00&quot;₽&quot;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4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52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5" fontId="5" fillId="0" borderId="15" xfId="1" applyNumberFormat="1" applyFont="1" applyBorder="1" applyAlignment="1">
      <alignment horizontal="right"/>
    </xf>
    <xf numFmtId="165" fontId="5" fillId="0" borderId="15" xfId="1" applyFont="1" applyBorder="1" applyAlignment="1">
      <alignment horizontal="right"/>
    </xf>
    <xf numFmtId="165" fontId="5" fillId="0" borderId="7" xfId="0" applyNumberFormat="1" applyFont="1" applyBorder="1"/>
    <xf numFmtId="165" fontId="5" fillId="0" borderId="15" xfId="0" applyNumberFormat="1" applyFont="1" applyBorder="1"/>
    <xf numFmtId="165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5" fontId="17" fillId="0" borderId="15" xfId="1" applyNumberFormat="1" applyFont="1" applyBorder="1" applyAlignment="1">
      <alignment horizontal="right"/>
    </xf>
    <xf numFmtId="165" fontId="17" fillId="0" borderId="15" xfId="1" applyFont="1" applyBorder="1" applyAlignment="1">
      <alignment horizontal="right"/>
    </xf>
    <xf numFmtId="165" fontId="3" fillId="0" borderId="15" xfId="1" applyFont="1" applyBorder="1" applyAlignment="1">
      <alignment horizontal="right"/>
    </xf>
    <xf numFmtId="165" fontId="3" fillId="0" borderId="7" xfId="0" applyNumberFormat="1" applyFont="1" applyBorder="1"/>
    <xf numFmtId="165" fontId="17" fillId="0" borderId="15" xfId="0" applyNumberFormat="1" applyFont="1" applyBorder="1"/>
    <xf numFmtId="165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6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6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top"/>
    </xf>
    <xf numFmtId="167" fontId="7" fillId="4" borderId="7" xfId="0" applyNumberFormat="1" applyFont="1" applyFill="1" applyBorder="1" applyAlignment="1">
      <alignment horizontal="center" vertical="top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6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167" fontId="5" fillId="4" borderId="7" xfId="0" applyNumberFormat="1" applyFont="1" applyFill="1" applyBorder="1" applyAlignment="1">
      <alignment horizontal="center" vertical="top" wrapText="1" readingOrder="1"/>
    </xf>
    <xf numFmtId="167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0" fontId="4" fillId="4" borderId="7" xfId="3" applyFont="1" applyFill="1" applyBorder="1" applyAlignment="1">
      <alignment horizontal="right" vertical="center"/>
    </xf>
    <xf numFmtId="0" fontId="4" fillId="4" borderId="7" xfId="2" applyFont="1" applyFill="1" applyBorder="1" applyAlignment="1">
      <alignment horizontal="right" vertical="center" wrapText="1"/>
    </xf>
    <xf numFmtId="2" fontId="4" fillId="4" borderId="7" xfId="0" applyNumberFormat="1" applyFont="1" applyFill="1" applyBorder="1" applyAlignment="1">
      <alignment horizontal="right" vertical="center"/>
    </xf>
    <xf numFmtId="4" fontId="4" fillId="4" borderId="7" xfId="3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2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8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5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8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8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6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5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3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 wrapText="1" readingOrder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5" fontId="34" fillId="4" borderId="7" xfId="0" applyNumberFormat="1" applyFont="1" applyFill="1" applyBorder="1" applyAlignment="1">
      <alignment vertical="top" wrapText="1"/>
    </xf>
    <xf numFmtId="166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7" fontId="5" fillId="4" borderId="0" xfId="0" applyNumberFormat="1" applyFont="1" applyFill="1"/>
    <xf numFmtId="166" fontId="5" fillId="4" borderId="0" xfId="0" applyNumberFormat="1" applyFont="1" applyFill="1"/>
    <xf numFmtId="4" fontId="11" fillId="4" borderId="0" xfId="0" applyNumberFormat="1" applyFont="1" applyFill="1" applyBorder="1"/>
    <xf numFmtId="165" fontId="4" fillId="4" borderId="7" xfId="0" applyNumberFormat="1" applyFont="1" applyFill="1" applyBorder="1" applyAlignment="1">
      <alignment vertical="top" wrapText="1"/>
    </xf>
    <xf numFmtId="167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6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5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4" fillId="4" borderId="16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65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5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horizontal="left" vertical="center"/>
    </xf>
    <xf numFmtId="0" fontId="4" fillId="4" borderId="13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vertical="center"/>
    </xf>
    <xf numFmtId="169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9" fontId="5" fillId="4" borderId="7" xfId="0" applyNumberFormat="1" applyFont="1" applyFill="1" applyBorder="1" applyAlignment="1">
      <alignment horizontal="center" vertical="center" wrapText="1" readingOrder="1"/>
    </xf>
    <xf numFmtId="170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right" vertical="center"/>
    </xf>
    <xf numFmtId="164" fontId="4" fillId="4" borderId="7" xfId="0" applyNumberFormat="1" applyFont="1" applyFill="1" applyBorder="1" applyAlignment="1">
      <alignment vertical="top" wrapText="1"/>
    </xf>
    <xf numFmtId="0" fontId="22" fillId="4" borderId="15" xfId="0" applyFont="1" applyFill="1" applyBorder="1" applyAlignment="1">
      <alignment vertical="top" wrapText="1"/>
    </xf>
    <xf numFmtId="0" fontId="22" fillId="4" borderId="8" xfId="0" applyFont="1" applyFill="1" applyBorder="1" applyAlignment="1">
      <alignment vertical="top" wrapText="1"/>
    </xf>
    <xf numFmtId="0" fontId="22" fillId="4" borderId="22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168" fontId="4" fillId="0" borderId="13" xfId="0" applyNumberFormat="1" applyFont="1" applyFill="1" applyBorder="1" applyAlignment="1">
      <alignment horizontal="center"/>
    </xf>
    <xf numFmtId="168" fontId="4" fillId="4" borderId="13" xfId="0" applyNumberFormat="1" applyFont="1" applyFill="1" applyBorder="1" applyAlignment="1">
      <alignment horizontal="center"/>
    </xf>
    <xf numFmtId="168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8" fontId="19" fillId="4" borderId="7" xfId="0" applyNumberFormat="1" applyFont="1" applyFill="1" applyBorder="1" applyAlignment="1">
      <alignment horizontal="center" vertical="top" wrapText="1" readingOrder="1"/>
    </xf>
    <xf numFmtId="168" fontId="14" fillId="0" borderId="7" xfId="0" applyNumberFormat="1" applyFont="1" applyBorder="1" applyAlignment="1">
      <alignment horizontal="center" wrapText="1"/>
    </xf>
    <xf numFmtId="168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8" fontId="7" fillId="4" borderId="7" xfId="0" applyNumberFormat="1" applyFont="1" applyFill="1" applyBorder="1" applyAlignment="1">
      <alignment horizontal="center" wrapText="1"/>
    </xf>
    <xf numFmtId="0" fontId="27" fillId="4" borderId="15" xfId="3" applyFont="1" applyFill="1" applyBorder="1" applyAlignment="1">
      <alignment vertical="center"/>
    </xf>
    <xf numFmtId="0" fontId="27" fillId="4" borderId="16" xfId="3" applyFont="1" applyFill="1" applyBorder="1" applyAlignment="1">
      <alignment vertical="center"/>
    </xf>
    <xf numFmtId="0" fontId="27" fillId="4" borderId="15" xfId="0" applyFont="1" applyFill="1" applyBorder="1" applyAlignment="1">
      <alignment vertical="center" wrapText="1"/>
    </xf>
    <xf numFmtId="4" fontId="27" fillId="4" borderId="7" xfId="0" applyNumberFormat="1" applyFont="1" applyFill="1" applyBorder="1" applyAlignment="1">
      <alignment vertical="top" wrapText="1"/>
    </xf>
    <xf numFmtId="168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0" fontId="4" fillId="4" borderId="22" xfId="0" applyFont="1" applyFill="1" applyBorder="1" applyAlignment="1">
      <alignment vertical="center" wrapText="1"/>
    </xf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top" wrapText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4" fillId="4" borderId="9" xfId="0" applyFont="1" applyFill="1" applyBorder="1" applyAlignment="1">
      <alignment vertical="top" wrapText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0" fontId="4" fillId="4" borderId="7" xfId="3" applyFont="1" applyFill="1" applyBorder="1" applyAlignment="1">
      <alignment horizontal="left" vertic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27" fillId="7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27" fillId="7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0" fontId="27" fillId="7" borderId="7" xfId="0" applyFont="1" applyFill="1" applyBorder="1" applyAlignment="1">
      <alignment vertical="center" wrapText="1"/>
    </xf>
    <xf numFmtId="0" fontId="0" fillId="4" borderId="7" xfId="0" applyFill="1" applyBorder="1" applyAlignment="1">
      <alignment horizontal="center"/>
    </xf>
    <xf numFmtId="0" fontId="4" fillId="4" borderId="22" xfId="0" applyFont="1" applyFill="1" applyBorder="1" applyAlignment="1">
      <alignment horizontal="left" vertical="center" wrapText="1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21" fillId="4" borderId="13" xfId="0" applyFont="1" applyFill="1" applyBorder="1" applyAlignment="1">
      <alignment horizontal="left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9" fillId="4" borderId="7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4" fontId="42" fillId="4" borderId="3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/>
    </xf>
    <xf numFmtId="4" fontId="45" fillId="3" borderId="7" xfId="0" applyNumberFormat="1" applyFont="1" applyFill="1" applyBorder="1" applyAlignment="1">
      <alignment horizontal="center" vertical="center" wrapText="1" readingOrder="1"/>
    </xf>
    <xf numFmtId="4" fontId="42" fillId="4" borderId="1" xfId="0" applyNumberFormat="1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7" xfId="0" applyFont="1" applyFill="1" applyBorder="1" applyAlignment="1">
      <alignment horizontal="left" vertical="top" wrapText="1"/>
    </xf>
    <xf numFmtId="4" fontId="27" fillId="4" borderId="7" xfId="0" applyNumberFormat="1" applyFont="1" applyFill="1" applyBorder="1" applyAlignment="1">
      <alignment horizontal="left"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27" fillId="4" borderId="13" xfId="3" applyFont="1" applyFill="1" applyBorder="1" applyAlignment="1">
      <alignment vertical="center"/>
    </xf>
    <xf numFmtId="4" fontId="45" fillId="4" borderId="7" xfId="0" applyNumberFormat="1" applyFont="1" applyFill="1" applyBorder="1"/>
    <xf numFmtId="4" fontId="46" fillId="4" borderId="7" xfId="0" applyNumberFormat="1" applyFont="1" applyFill="1" applyBorder="1"/>
    <xf numFmtId="165" fontId="47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7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5" fillId="4" borderId="7" xfId="0" applyNumberFormat="1" applyFont="1" applyFill="1" applyBorder="1" applyAlignment="1">
      <alignment vertical="top" wrapText="1"/>
    </xf>
    <xf numFmtId="4" fontId="45" fillId="4" borderId="7" xfId="0" applyNumberFormat="1" applyFont="1" applyFill="1" applyBorder="1" applyAlignment="1">
      <alignment horizontal="center" vertical="top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4" fontId="45" fillId="4" borderId="7" xfId="0" applyNumberFormat="1" applyFont="1" applyFill="1" applyBorder="1" applyAlignment="1">
      <alignment horizontal="center" vertical="center" wrapText="1" readingOrder="1"/>
    </xf>
    <xf numFmtId="0" fontId="4" fillId="3" borderId="0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7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left"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4" fontId="27" fillId="3" borderId="7" xfId="0" applyNumberFormat="1" applyFont="1" applyFill="1" applyBorder="1" applyAlignment="1">
      <alignment horizontal="center" vertical="center"/>
    </xf>
    <xf numFmtId="4" fontId="45" fillId="3" borderId="7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27" fillId="3" borderId="7" xfId="0" applyFont="1" applyFill="1" applyBorder="1" applyAlignment="1">
      <alignment horizontal="right" vertical="center"/>
    </xf>
    <xf numFmtId="0" fontId="27" fillId="4" borderId="7" xfId="0" applyFont="1" applyFill="1" applyBorder="1" applyAlignment="1">
      <alignment horizontal="right" vertical="center"/>
    </xf>
    <xf numFmtId="0" fontId="27" fillId="4" borderId="7" xfId="3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right" vertical="center"/>
    </xf>
    <xf numFmtId="0" fontId="27" fillId="4" borderId="9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right" vertical="center"/>
    </xf>
    <xf numFmtId="4" fontId="27" fillId="4" borderId="7" xfId="3" applyNumberFormat="1" applyFont="1" applyFill="1" applyBorder="1" applyAlignment="1">
      <alignment horizontal="right" vertical="center"/>
    </xf>
    <xf numFmtId="0" fontId="27" fillId="4" borderId="7" xfId="2" applyFont="1" applyFill="1" applyBorder="1" applyAlignment="1">
      <alignment horizontal="right" vertical="center" wrapText="1"/>
    </xf>
    <xf numFmtId="2" fontId="27" fillId="4" borderId="7" xfId="0" applyNumberFormat="1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1" fillId="4" borderId="0" xfId="0" applyFont="1" applyFill="1" applyAlignment="1">
      <alignment horizontal="center" vertical="top" wrapText="1"/>
    </xf>
    <xf numFmtId="0" fontId="22" fillId="4" borderId="9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15" xfId="0" applyFont="1" applyFill="1" applyBorder="1" applyAlignment="1">
      <alignment horizontal="left" vertical="center" wrapText="1" readingOrder="1"/>
    </xf>
    <xf numFmtId="0" fontId="42" fillId="4" borderId="7" xfId="0" applyFont="1" applyFill="1" applyBorder="1" applyAlignment="1">
      <alignment horizontal="center" vertical="center" wrapText="1" readingOrder="1"/>
    </xf>
    <xf numFmtId="0" fontId="38" fillId="4" borderId="7" xfId="0" applyFont="1" applyFill="1" applyBorder="1" applyAlignment="1">
      <alignment horizontal="center" vertical="top" wrapText="1"/>
    </xf>
    <xf numFmtId="2" fontId="42" fillId="4" borderId="7" xfId="0" applyNumberFormat="1" applyFont="1" applyFill="1" applyBorder="1" applyAlignment="1">
      <alignment horizontal="center" vertical="center" wrapText="1" readingOrder="1"/>
    </xf>
    <xf numFmtId="0" fontId="48" fillId="4" borderId="0" xfId="0" applyFont="1" applyFill="1"/>
    <xf numFmtId="4" fontId="42" fillId="4" borderId="7" xfId="0" applyNumberFormat="1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top" wrapText="1" readingOrder="1"/>
    </xf>
    <xf numFmtId="0" fontId="7" fillId="4" borderId="13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8" xfId="0" applyFont="1" applyFill="1" applyBorder="1" applyAlignment="1">
      <alignment horizontal="center" vertical="center" wrapText="1" readingOrder="1"/>
    </xf>
    <xf numFmtId="0" fontId="19" fillId="4" borderId="9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0" xfId="0" applyFont="1" applyFill="1" applyAlignment="1">
      <alignment horizontal="center" vertical="center" readingOrder="1"/>
    </xf>
    <xf numFmtId="0" fontId="21" fillId="4" borderId="0" xfId="0" applyFont="1" applyFill="1" applyAlignment="1">
      <alignment horizontal="center" vertical="top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7" xfId="0" applyFont="1" applyFill="1" applyBorder="1" applyAlignment="1">
      <alignment horizontal="right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 readingOrder="1"/>
    </xf>
    <xf numFmtId="0" fontId="21" fillId="4" borderId="17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center" readingOrder="1"/>
    </xf>
    <xf numFmtId="0" fontId="21" fillId="4" borderId="14" xfId="0" applyFont="1" applyFill="1" applyBorder="1" applyAlignment="1">
      <alignment horizontal="center" vertical="center" readingOrder="1"/>
    </xf>
    <xf numFmtId="0" fontId="7" fillId="3" borderId="7" xfId="0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7" xfId="1" applyNumberFormat="1" applyFont="1" applyFill="1" applyBorder="1" applyAlignment="1">
      <alignment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27" fillId="3" borderId="7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center" vertical="top" wrapText="1" readingOrder="1"/>
    </xf>
    <xf numFmtId="0" fontId="5" fillId="4" borderId="14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4" fillId="4" borderId="23" xfId="0" applyFont="1" applyFill="1" applyBorder="1" applyAlignment="1">
      <alignment vertical="top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4" borderId="0" xfId="0" applyFont="1" applyFill="1" applyBorder="1" applyAlignment="1">
      <alignment horizontal="center" vertical="top" wrapText="1"/>
    </xf>
    <xf numFmtId="165" fontId="4" fillId="4" borderId="0" xfId="0" applyNumberFormat="1" applyFont="1" applyFill="1" applyBorder="1" applyAlignment="1">
      <alignment vertical="top" wrapText="1"/>
    </xf>
    <xf numFmtId="0" fontId="5" fillId="4" borderId="12" xfId="0" applyFont="1" applyFill="1" applyBorder="1" applyAlignment="1">
      <alignment horizontal="center" vertical="center" wrapText="1" readingOrder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O10" sqref="O10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01" t="s">
        <v>549</v>
      </c>
      <c r="J1" s="501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02" t="s">
        <v>603</v>
      </c>
      <c r="J2" s="502"/>
      <c r="K2" s="502"/>
      <c r="L2" s="184"/>
      <c r="M2" s="184"/>
    </row>
    <row r="3" spans="1:16" ht="30" x14ac:dyDescent="0.25">
      <c r="A3" s="207" t="s">
        <v>599</v>
      </c>
      <c r="B3" s="503" t="str">
        <f>'инновации+добровольчество'!B3:H3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03"/>
      <c r="D3" s="503"/>
      <c r="E3" s="503"/>
      <c r="F3" s="503"/>
      <c r="G3" s="503"/>
      <c r="H3" s="503"/>
      <c r="I3" s="503"/>
      <c r="J3" s="503"/>
      <c r="K3" s="503"/>
    </row>
    <row r="4" spans="1:16" x14ac:dyDescent="0.25">
      <c r="A4" s="45"/>
      <c r="B4" s="504"/>
      <c r="C4" s="504"/>
      <c r="D4" s="504"/>
      <c r="E4" s="504"/>
      <c r="F4" s="504"/>
      <c r="G4" s="504"/>
      <c r="H4" s="504"/>
      <c r="I4" s="504"/>
      <c r="J4" s="504"/>
      <c r="K4" s="504"/>
    </row>
    <row r="5" spans="1:16" ht="15" customHeight="1" x14ac:dyDescent="0.25">
      <c r="A5" s="505" t="s">
        <v>93</v>
      </c>
      <c r="B5" s="506"/>
      <c r="C5" s="506"/>
      <c r="D5" s="505" t="s">
        <v>32</v>
      </c>
      <c r="E5" s="497"/>
      <c r="F5" s="497"/>
      <c r="G5" s="497"/>
      <c r="H5" s="497"/>
      <c r="I5" s="497"/>
      <c r="J5" s="498"/>
      <c r="K5" s="499" t="s">
        <v>33</v>
      </c>
    </row>
    <row r="6" spans="1:16" ht="120" customHeight="1" x14ac:dyDescent="0.25">
      <c r="A6" s="208" t="s">
        <v>103</v>
      </c>
      <c r="B6" s="209" t="s">
        <v>104</v>
      </c>
      <c r="C6" s="209" t="s">
        <v>105</v>
      </c>
      <c r="D6" s="210" t="s">
        <v>106</v>
      </c>
      <c r="E6" s="211" t="s">
        <v>107</v>
      </c>
      <c r="F6" s="212" t="s">
        <v>112</v>
      </c>
      <c r="G6" s="213" t="s">
        <v>108</v>
      </c>
      <c r="H6" s="213" t="s">
        <v>111</v>
      </c>
      <c r="I6" s="213" t="s">
        <v>109</v>
      </c>
      <c r="J6" s="213" t="s">
        <v>110</v>
      </c>
      <c r="K6" s="500"/>
    </row>
    <row r="7" spans="1:16" x14ac:dyDescent="0.25">
      <c r="A7" s="214">
        <v>1</v>
      </c>
      <c r="B7" s="214">
        <v>2</v>
      </c>
      <c r="C7" s="214">
        <v>3</v>
      </c>
      <c r="D7" s="215">
        <v>4</v>
      </c>
      <c r="E7" s="216">
        <v>5</v>
      </c>
      <c r="F7" s="216">
        <v>6</v>
      </c>
      <c r="G7" s="216">
        <v>7</v>
      </c>
      <c r="H7" s="216">
        <v>8</v>
      </c>
      <c r="I7" s="216">
        <v>9</v>
      </c>
      <c r="J7" s="216">
        <v>10</v>
      </c>
      <c r="K7" s="217">
        <v>11</v>
      </c>
      <c r="N7" s="39">
        <f>A8+I8</f>
        <v>2170225.9546222999</v>
      </c>
    </row>
    <row r="8" spans="1:16" x14ac:dyDescent="0.25">
      <c r="A8" s="218">
        <f>'инновации+добровольчество'!J27+'инновации+добровольчество'!H36+'инновации+добровольчество'!F44</f>
        <v>1428392.1304167996</v>
      </c>
      <c r="B8" s="218">
        <f>'инновации+добровольчество'!G57</f>
        <v>28265.618300000002</v>
      </c>
      <c r="C8" s="218">
        <f>'инновации+добровольчество'!G87</f>
        <v>147000</v>
      </c>
      <c r="D8" s="406">
        <f>'инновации+добровольчество'!F132</f>
        <v>112627.01393080001</v>
      </c>
      <c r="E8" s="5">
        <f>'инновации+добровольчество'!F203</f>
        <v>105820.04435</v>
      </c>
      <c r="F8" s="5">
        <v>0</v>
      </c>
      <c r="G8" s="412">
        <f>'инновации+добровольчество'!G155</f>
        <v>43553.811999999998</v>
      </c>
      <c r="H8" s="412">
        <f>'инновации+добровольчество'!G163</f>
        <v>6354.0789999999997</v>
      </c>
      <c r="I8" s="5">
        <f>'инновации+добровольчество'!H98+'инновации+добровольчество'!F109</f>
        <v>741833.82420550019</v>
      </c>
      <c r="J8" s="5">
        <f>'инновации+добровольчество'!F454+'инновации+добровольчество'!G142+'инновации+добровольчество'!G118</f>
        <v>397914.45854999998</v>
      </c>
      <c r="K8" s="219">
        <f>SUM(A8:J8)</f>
        <v>3011760.9807530995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20" t="s">
        <v>600</v>
      </c>
      <c r="B10" s="503" t="str">
        <f>патриотика!B3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03"/>
      <c r="D10" s="503"/>
      <c r="E10" s="503"/>
      <c r="F10" s="503"/>
      <c r="G10" s="503"/>
      <c r="H10" s="503"/>
      <c r="I10" s="503"/>
      <c r="J10" s="503"/>
      <c r="K10" s="503"/>
      <c r="N10" s="206" t="s">
        <v>195</v>
      </c>
      <c r="O10" s="221">
        <f>K8+K15+K23</f>
        <v>9456605.7398600001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180</v>
      </c>
      <c r="O11" s="39">
        <f>N7+N15+N23</f>
        <v>6478286.4673800003</v>
      </c>
      <c r="P11" s="39"/>
    </row>
    <row r="12" spans="1:16" ht="45" customHeight="1" x14ac:dyDescent="0.25">
      <c r="A12" s="505" t="s">
        <v>93</v>
      </c>
      <c r="B12" s="506"/>
      <c r="C12" s="506"/>
      <c r="D12" s="505" t="s">
        <v>32</v>
      </c>
      <c r="E12" s="497"/>
      <c r="F12" s="497"/>
      <c r="G12" s="497"/>
      <c r="H12" s="497"/>
      <c r="I12" s="497"/>
      <c r="J12" s="498"/>
      <c r="K12" s="499" t="s">
        <v>33</v>
      </c>
      <c r="P12" s="39"/>
    </row>
    <row r="13" spans="1:16" ht="85.15" customHeight="1" x14ac:dyDescent="0.25">
      <c r="A13" s="208" t="s">
        <v>103</v>
      </c>
      <c r="B13" s="209" t="s">
        <v>104</v>
      </c>
      <c r="C13" s="209" t="s">
        <v>105</v>
      </c>
      <c r="D13" s="210" t="s">
        <v>106</v>
      </c>
      <c r="E13" s="211" t="s">
        <v>107</v>
      </c>
      <c r="F13" s="212" t="s">
        <v>112</v>
      </c>
      <c r="G13" s="213" t="s">
        <v>108</v>
      </c>
      <c r="H13" s="213" t="s">
        <v>111</v>
      </c>
      <c r="I13" s="213" t="s">
        <v>109</v>
      </c>
      <c r="J13" s="213" t="s">
        <v>110</v>
      </c>
      <c r="K13" s="500"/>
      <c r="P13" s="39"/>
    </row>
    <row r="14" spans="1:16" x14ac:dyDescent="0.25">
      <c r="A14" s="222">
        <v>1</v>
      </c>
      <c r="B14" s="222">
        <v>2</v>
      </c>
      <c r="C14" s="222">
        <v>3</v>
      </c>
      <c r="D14" s="223">
        <v>4</v>
      </c>
      <c r="E14" s="216">
        <v>6</v>
      </c>
      <c r="F14" s="216">
        <v>7</v>
      </c>
      <c r="G14" s="216">
        <v>8</v>
      </c>
      <c r="H14" s="216">
        <v>9</v>
      </c>
      <c r="I14" s="216">
        <v>10</v>
      </c>
      <c r="J14" s="216">
        <v>11</v>
      </c>
      <c r="K14" s="217">
        <v>12</v>
      </c>
    </row>
    <row r="15" spans="1:16" x14ac:dyDescent="0.25">
      <c r="A15" s="218">
        <f>патриотика!J26+патриотика!H34+патриотика!F41</f>
        <v>1714070.5965001597</v>
      </c>
      <c r="B15" s="218">
        <f>патриотика!G49</f>
        <v>33918.741959999999</v>
      </c>
      <c r="C15" s="218">
        <f>патриотика!G87</f>
        <v>144830</v>
      </c>
      <c r="D15" s="406">
        <f>патриотика!F136</f>
        <v>135152.34471696001</v>
      </c>
      <c r="E15" s="5">
        <f>патриотика!F219</f>
        <v>126984.00522000001</v>
      </c>
      <c r="F15" s="5">
        <v>0</v>
      </c>
      <c r="G15" s="412">
        <f>патриотика!G172</f>
        <v>52264.472399999999</v>
      </c>
      <c r="H15" s="412">
        <f>патриотика!G180</f>
        <v>7624.8948</v>
      </c>
      <c r="I15" s="5">
        <f>патриотика!H101+патриотика!H121+патриотика!F110</f>
        <v>890200.55504660006</v>
      </c>
      <c r="J15" s="5">
        <f>патриотика!G145+патриотика!G159+патриотика!F470</f>
        <v>477497.66226000001</v>
      </c>
      <c r="K15" s="219">
        <f>SUM(A15:J15)</f>
        <v>3582543.2729037195</v>
      </c>
      <c r="N15" s="39">
        <f>A15+I15</f>
        <v>2604271.1515467595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20" t="s">
        <v>600</v>
      </c>
      <c r="B18" s="503" t="str">
        <f>'таланты+инициативы'!B3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03"/>
      <c r="D18" s="503"/>
      <c r="E18" s="503"/>
      <c r="F18" s="503"/>
      <c r="G18" s="503"/>
      <c r="H18" s="503"/>
      <c r="I18" s="503"/>
      <c r="J18" s="503"/>
      <c r="K18" s="503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94" t="s">
        <v>44</v>
      </c>
      <c r="B20" s="495"/>
      <c r="C20" s="495"/>
      <c r="D20" s="496" t="s">
        <v>32</v>
      </c>
      <c r="E20" s="497"/>
      <c r="F20" s="497"/>
      <c r="G20" s="497"/>
      <c r="H20" s="497"/>
      <c r="I20" s="497"/>
      <c r="J20" s="498"/>
      <c r="K20" s="499" t="s">
        <v>33</v>
      </c>
    </row>
    <row r="21" spans="1:14" ht="84" customHeight="1" x14ac:dyDescent="0.25">
      <c r="A21" s="212" t="s">
        <v>103</v>
      </c>
      <c r="B21" s="212" t="s">
        <v>104</v>
      </c>
      <c r="C21" s="212" t="s">
        <v>105</v>
      </c>
      <c r="D21" s="224" t="s">
        <v>106</v>
      </c>
      <c r="E21" s="225" t="s">
        <v>107</v>
      </c>
      <c r="F21" s="212" t="s">
        <v>112</v>
      </c>
      <c r="G21" s="226" t="s">
        <v>108</v>
      </c>
      <c r="H21" s="226" t="s">
        <v>111</v>
      </c>
      <c r="I21" s="226" t="s">
        <v>109</v>
      </c>
      <c r="J21" s="226" t="s">
        <v>110</v>
      </c>
      <c r="K21" s="500"/>
    </row>
    <row r="22" spans="1:14" x14ac:dyDescent="0.25">
      <c r="A22" s="222">
        <v>1</v>
      </c>
      <c r="B22" s="222">
        <v>2</v>
      </c>
      <c r="C22" s="222">
        <v>3</v>
      </c>
      <c r="D22" s="215">
        <v>5</v>
      </c>
      <c r="E22" s="216">
        <v>6</v>
      </c>
      <c r="F22" s="216">
        <v>7</v>
      </c>
      <c r="G22" s="216">
        <v>8</v>
      </c>
      <c r="H22" s="216">
        <v>9</v>
      </c>
      <c r="I22" s="216">
        <v>10</v>
      </c>
      <c r="J22" s="216">
        <v>11</v>
      </c>
      <c r="K22" s="217">
        <v>12</v>
      </c>
    </row>
    <row r="23" spans="1:14" x14ac:dyDescent="0.25">
      <c r="A23" s="218">
        <f>'таланты+инициативы'!J26+'таланты+инициативы'!H34+'таланты+инициативы'!F41</f>
        <v>1120009.34716304</v>
      </c>
      <c r="B23" s="218">
        <f>'таланты+инициативы'!G52</f>
        <v>22190.619739999998</v>
      </c>
      <c r="C23" s="218">
        <f>'таланты+инициативы'!G133</f>
        <v>613250</v>
      </c>
      <c r="D23" s="406">
        <f>'таланты+инициативы'!F179</f>
        <v>88420.563832240005</v>
      </c>
      <c r="E23" s="5">
        <f>'таланты+инициативы'!F258</f>
        <v>83076.600429999991</v>
      </c>
      <c r="F23" s="5">
        <v>0</v>
      </c>
      <c r="G23" s="412">
        <f>'таланты+инициативы'!G211</f>
        <v>34192.9156</v>
      </c>
      <c r="H23" s="412">
        <f>'таланты+инициативы'!G219</f>
        <v>4988.4261999999999</v>
      </c>
      <c r="I23" s="5">
        <f>'таланты+инициативы'!H143+'таланты+инициативы'!H154+'таланты+инициативы'!F165</f>
        <v>583780.0140479001</v>
      </c>
      <c r="J23" s="5">
        <f>'таланты+инициативы'!F509+'таланты+инициативы'!G198+'таланты+инициативы'!G187</f>
        <v>312392.99918999994</v>
      </c>
      <c r="K23" s="219">
        <f>SUM(A23:J23)</f>
        <v>2862301.4862031802</v>
      </c>
      <c r="N23" s="39">
        <f>A23+I23</f>
        <v>1703789.3612109399</v>
      </c>
    </row>
    <row r="24" spans="1:14" x14ac:dyDescent="0.25">
      <c r="A24" s="45"/>
      <c r="B24" s="45"/>
      <c r="C24" s="45"/>
      <c r="D24" s="200"/>
      <c r="E24" s="45"/>
      <c r="F24" s="45"/>
      <c r="G24" s="45"/>
      <c r="H24" s="45"/>
      <c r="I24" s="45"/>
      <c r="J24" s="45"/>
      <c r="K24" s="45"/>
    </row>
    <row r="26" spans="1:14" x14ac:dyDescent="0.25">
      <c r="B26" s="221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9"/>
  <sheetViews>
    <sheetView topLeftCell="A4" workbookViewId="0">
      <selection activeCell="A7" sqref="A7:A339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97.25" customHeight="1" x14ac:dyDescent="0.25">
      <c r="D1" s="524" t="s">
        <v>604</v>
      </c>
      <c r="E1" s="524"/>
      <c r="F1" s="154"/>
    </row>
    <row r="3" spans="1:6" x14ac:dyDescent="0.25">
      <c r="A3" s="525" t="s">
        <v>138</v>
      </c>
      <c r="B3" s="525"/>
      <c r="C3" s="525"/>
      <c r="D3" s="525"/>
      <c r="E3" s="525"/>
    </row>
    <row r="4" spans="1:6" ht="35.450000000000003" customHeight="1" x14ac:dyDescent="0.25">
      <c r="A4" s="526" t="s">
        <v>162</v>
      </c>
      <c r="B4" s="526"/>
      <c r="C4" s="526"/>
      <c r="D4" s="526"/>
      <c r="E4" s="526"/>
    </row>
    <row r="5" spans="1:6" ht="60" x14ac:dyDescent="0.25">
      <c r="A5" s="111" t="s">
        <v>139</v>
      </c>
      <c r="B5" s="112" t="s">
        <v>140</v>
      </c>
      <c r="C5" s="111" t="s">
        <v>141</v>
      </c>
      <c r="D5" s="111" t="s">
        <v>142</v>
      </c>
      <c r="E5" s="111" t="s">
        <v>143</v>
      </c>
    </row>
    <row r="6" spans="1:6" x14ac:dyDescent="0.25">
      <c r="A6" s="113">
        <v>1</v>
      </c>
      <c r="B6" s="113">
        <v>2</v>
      </c>
      <c r="C6" s="113">
        <v>3</v>
      </c>
      <c r="D6" s="113">
        <v>4</v>
      </c>
      <c r="E6" s="113">
        <v>5</v>
      </c>
    </row>
    <row r="7" spans="1:6" ht="37.15" customHeight="1" x14ac:dyDescent="0.25">
      <c r="A7" s="514" t="s">
        <v>53</v>
      </c>
      <c r="B7" s="513" t="s">
        <v>163</v>
      </c>
      <c r="C7" s="527" t="s">
        <v>144</v>
      </c>
      <c r="D7" s="528"/>
      <c r="E7" s="529"/>
    </row>
    <row r="8" spans="1:6" ht="14.45" customHeight="1" x14ac:dyDescent="0.25">
      <c r="A8" s="514"/>
      <c r="B8" s="513"/>
      <c r="C8" s="530" t="s">
        <v>145</v>
      </c>
      <c r="D8" s="531"/>
      <c r="E8" s="532"/>
    </row>
    <row r="9" spans="1:6" ht="15" customHeight="1" x14ac:dyDescent="0.25">
      <c r="A9" s="514"/>
      <c r="B9" s="513"/>
      <c r="C9" s="116" t="s">
        <v>152</v>
      </c>
      <c r="D9" s="115" t="s">
        <v>146</v>
      </c>
      <c r="E9" s="284">
        <f>'инновации+добровольчество'!D26</f>
        <v>1.8759999999999999</v>
      </c>
    </row>
    <row r="10" spans="1:6" ht="15" customHeight="1" x14ac:dyDescent="0.25">
      <c r="A10" s="514"/>
      <c r="B10" s="513"/>
      <c r="C10" s="116" t="s">
        <v>102</v>
      </c>
      <c r="D10" s="114" t="s">
        <v>146</v>
      </c>
      <c r="E10" s="285">
        <f>'инновации+добровольчество'!D25</f>
        <v>0.33500000000000002</v>
      </c>
    </row>
    <row r="11" spans="1:6" ht="13.9" customHeight="1" x14ac:dyDescent="0.25">
      <c r="A11" s="514"/>
      <c r="B11" s="513"/>
      <c r="C11" s="536" t="s">
        <v>156</v>
      </c>
      <c r="D11" s="537"/>
      <c r="E11" s="538"/>
    </row>
    <row r="12" spans="1:6" ht="40.15" customHeight="1" x14ac:dyDescent="0.25">
      <c r="A12" s="514"/>
      <c r="B12" s="513"/>
      <c r="C12" s="130" t="s">
        <v>287</v>
      </c>
      <c r="D12" s="108" t="s">
        <v>39</v>
      </c>
      <c r="E12" s="279">
        <f>'инновации+добровольчество'!E53</f>
        <v>0.33500000000000002</v>
      </c>
    </row>
    <row r="13" spans="1:6" ht="25.15" customHeight="1" x14ac:dyDescent="0.25">
      <c r="A13" s="514"/>
      <c r="B13" s="513"/>
      <c r="C13" s="130" t="s">
        <v>288</v>
      </c>
      <c r="D13" s="108" t="s">
        <v>39</v>
      </c>
      <c r="E13" s="279">
        <f>'инновации+добровольчество'!E54</f>
        <v>0.33500000000000002</v>
      </c>
    </row>
    <row r="14" spans="1:6" ht="21" customHeight="1" x14ac:dyDescent="0.25">
      <c r="A14" s="514"/>
      <c r="B14" s="513"/>
      <c r="C14" s="130" t="s">
        <v>289</v>
      </c>
      <c r="D14" s="108" t="s">
        <v>39</v>
      </c>
      <c r="E14" s="279">
        <f>'инновации+добровольчество'!E55</f>
        <v>0.33500000000000002</v>
      </c>
    </row>
    <row r="15" spans="1:6" ht="32.25" customHeight="1" x14ac:dyDescent="0.25">
      <c r="A15" s="514"/>
      <c r="B15" s="513"/>
      <c r="C15" s="515" t="s">
        <v>157</v>
      </c>
      <c r="D15" s="516"/>
      <c r="E15" s="517"/>
    </row>
    <row r="16" spans="1:6" ht="30" customHeight="1" x14ac:dyDescent="0.25">
      <c r="A16" s="514"/>
      <c r="B16" s="513"/>
      <c r="C16" s="118" t="str">
        <f>'инновации+добровольчество'!A65</f>
        <v>Проживание 3 суток</v>
      </c>
      <c r="D16" s="377" t="str">
        <f>'инновации+добровольчество'!D65</f>
        <v>сут</v>
      </c>
      <c r="E16" s="181">
        <f>'инновации+добровольчество'!E65</f>
        <v>5</v>
      </c>
    </row>
    <row r="17" spans="1:5" ht="16.899999999999999" customHeight="1" x14ac:dyDescent="0.25">
      <c r="A17" s="514"/>
      <c r="B17" s="513"/>
      <c r="C17" s="118" t="str">
        <f>'инновации+добровольчество'!A66</f>
        <v>Суточные (5 подростков)</v>
      </c>
      <c r="D17" s="377" t="str">
        <f>'инновации+добровольчество'!D66</f>
        <v>сут</v>
      </c>
      <c r="E17" s="181">
        <f>'инновации+добровольчество'!E66</f>
        <v>5</v>
      </c>
    </row>
    <row r="18" spans="1:5" ht="16.899999999999999" customHeight="1" x14ac:dyDescent="0.25">
      <c r="A18" s="514"/>
      <c r="B18" s="513"/>
      <c r="C18" s="118" t="str">
        <f>'инновации+добровольчество'!A69</f>
        <v>Статуэтки Ника для вручения премия Главы с шильдой</v>
      </c>
      <c r="D18" s="377" t="str">
        <f>'инновации+добровольчество'!D69</f>
        <v>шт</v>
      </c>
      <c r="E18" s="181">
        <f>'инновации+добровольчество'!E69</f>
        <v>10</v>
      </c>
    </row>
    <row r="19" spans="1:5" ht="16.899999999999999" customHeight="1" x14ac:dyDescent="0.25">
      <c r="A19" s="514"/>
      <c r="B19" s="513"/>
      <c r="C19" s="118" t="str">
        <f>'инновации+добровольчество'!A70</f>
        <v>Толстовки синие с капюш., без молнии, нанесение спина/грудь</v>
      </c>
      <c r="D19" s="377" t="str">
        <f>'инновации+добровольчество'!D70</f>
        <v>шт</v>
      </c>
      <c r="E19" s="181">
        <f>'инновации+добровольчество'!E70</f>
        <v>6</v>
      </c>
    </row>
    <row r="20" spans="1:5" ht="16.899999999999999" customHeight="1" x14ac:dyDescent="0.25">
      <c r="A20" s="514"/>
      <c r="B20" s="513"/>
      <c r="C20" s="118" t="str">
        <f>'инновации+добровольчество'!A71</f>
        <v>Баннер "ПрессВолл"</v>
      </c>
      <c r="D20" s="377" t="str">
        <f>'инновации+добровольчество'!D71</f>
        <v>шт</v>
      </c>
      <c r="E20" s="181">
        <f>'инновации+добровольчество'!E71</f>
        <v>1</v>
      </c>
    </row>
    <row r="21" spans="1:5" ht="16.899999999999999" customHeight="1" x14ac:dyDescent="0.25">
      <c r="A21" s="514"/>
      <c r="B21" s="513"/>
      <c r="C21" s="118" t="str">
        <f>'инновации+добровольчество'!A72</f>
        <v>Магнитный пазл "Карта района"</v>
      </c>
      <c r="D21" s="377" t="str">
        <f>'инновации+добровольчество'!D72</f>
        <v>шт</v>
      </c>
      <c r="E21" s="181">
        <f>'инновации+добровольчество'!E72</f>
        <v>2</v>
      </c>
    </row>
    <row r="22" spans="1:5" ht="16.899999999999999" customHeight="1" x14ac:dyDescent="0.25">
      <c r="A22" s="514"/>
      <c r="B22" s="513"/>
      <c r="C22" s="118" t="str">
        <f>'инновации+добровольчество'!A73</f>
        <v>Банер "Мечевой бой"</v>
      </c>
      <c r="D22" s="377" t="str">
        <f>'инновации+добровольчество'!D73</f>
        <v>шт</v>
      </c>
      <c r="E22" s="181">
        <f>'инновации+добровольчество'!E73</f>
        <v>3</v>
      </c>
    </row>
    <row r="23" spans="1:5" ht="16.899999999999999" customHeight="1" x14ac:dyDescent="0.25">
      <c r="A23" s="514"/>
      <c r="B23" s="513"/>
      <c r="C23" s="118" t="str">
        <f>'инновации+добровольчество'!A74</f>
        <v>Полотно для прессвола</v>
      </c>
      <c r="D23" s="377" t="str">
        <f>'инновации+добровольчество'!D74</f>
        <v>шт</v>
      </c>
      <c r="E23" s="181">
        <f>'инновации+добровольчество'!E74</f>
        <v>5</v>
      </c>
    </row>
    <row r="24" spans="1:5" ht="16.899999999999999" customHeight="1" x14ac:dyDescent="0.25">
      <c r="A24" s="514"/>
      <c r="B24" s="513"/>
      <c r="C24" s="118" t="str">
        <f>'инновации+добровольчество'!A75</f>
        <v>Банер "Трудовой отряд"</v>
      </c>
      <c r="D24" s="377" t="str">
        <f>'инновации+добровольчество'!D75</f>
        <v>шт</v>
      </c>
      <c r="E24" s="181">
        <f>'инновации+добровольчество'!E75</f>
        <v>1</v>
      </c>
    </row>
    <row r="25" spans="1:5" ht="16.899999999999999" customHeight="1" x14ac:dyDescent="0.25">
      <c r="A25" s="514"/>
      <c r="B25" s="513"/>
      <c r="C25" s="118" t="str">
        <f>'инновации+добровольчество'!A76</f>
        <v>Бейдж пластик на ленте "Молодежная премия"</v>
      </c>
      <c r="D25" s="377" t="str">
        <f>'инновации+добровольчество'!D76</f>
        <v>шт</v>
      </c>
      <c r="E25" s="181">
        <f>'инновации+добровольчество'!E76</f>
        <v>22</v>
      </c>
    </row>
    <row r="26" spans="1:5" ht="16.899999999999999" customHeight="1" x14ac:dyDescent="0.25">
      <c r="A26" s="514"/>
      <c r="B26" s="513"/>
      <c r="C26" s="118" t="str">
        <f>'инновации+добровольчество'!A77</f>
        <v>Банер 2*2 люверсы</v>
      </c>
      <c r="D26" s="377" t="str">
        <f>'инновации+добровольчество'!D77</f>
        <v>шт</v>
      </c>
      <c r="E26" s="181">
        <f>'инновации+добровольчество'!E77</f>
        <v>3</v>
      </c>
    </row>
    <row r="27" spans="1:5" ht="16.899999999999999" customHeight="1" x14ac:dyDescent="0.25">
      <c r="A27" s="514"/>
      <c r="B27" s="513"/>
      <c r="C27" s="118" t="str">
        <f>'инновации+добровольчество'!A78</f>
        <v>Хэштег фанера</v>
      </c>
      <c r="D27" s="377" t="str">
        <f>'инновации+добровольчество'!D78</f>
        <v>шт</v>
      </c>
      <c r="E27" s="181">
        <f>'инновации+добровольчество'!E78</f>
        <v>3</v>
      </c>
    </row>
    <row r="28" spans="1:5" ht="21.75" customHeight="1" x14ac:dyDescent="0.25">
      <c r="A28" s="514"/>
      <c r="B28" s="513"/>
      <c r="C28" s="118" t="str">
        <f>'инновации+добровольчество'!A80</f>
        <v>Ручка пластиковая с логотипом МЦ</v>
      </c>
      <c r="D28" s="377" t="str">
        <f>'инновации+добровольчество'!D80</f>
        <v>шт</v>
      </c>
      <c r="E28" s="181">
        <f>'инновации+добровольчество'!E80</f>
        <v>50</v>
      </c>
    </row>
    <row r="29" spans="1:5" ht="14.45" customHeight="1" x14ac:dyDescent="0.25">
      <c r="A29" s="514"/>
      <c r="B29" s="513"/>
      <c r="C29" s="118" t="str">
        <f>'инновации+добровольчество'!A81</f>
        <v>Значок РДШ, d56</v>
      </c>
      <c r="D29" s="377" t="str">
        <f>'инновации+добровольчество'!D81</f>
        <v>шт</v>
      </c>
      <c r="E29" s="181">
        <f>'инновации+добровольчество'!E81</f>
        <v>200</v>
      </c>
    </row>
    <row r="30" spans="1:5" ht="12" customHeight="1" x14ac:dyDescent="0.25">
      <c r="A30" s="514"/>
      <c r="B30" s="513"/>
      <c r="C30" s="118" t="str">
        <f>'инновации+добровольчество'!A82</f>
        <v>Блокнот А5 с логотипом МЦ</v>
      </c>
      <c r="D30" s="377" t="str">
        <f>'инновации+добровольчество'!D82</f>
        <v>шт</v>
      </c>
      <c r="E30" s="181">
        <f>'инновации+добровольчество'!E82</f>
        <v>200</v>
      </c>
    </row>
    <row r="31" spans="1:5" ht="31.5" customHeight="1" x14ac:dyDescent="0.25">
      <c r="A31" s="514"/>
      <c r="B31" s="513"/>
      <c r="C31" s="118" t="str">
        <f>'инновации+добровольчество'!A84</f>
        <v>Рамки А4 для дипломов</v>
      </c>
      <c r="D31" s="377" t="str">
        <f>'инновации+добровольчество'!D84</f>
        <v>шт</v>
      </c>
      <c r="E31" s="181">
        <f>'инновации+добровольчество'!E84</f>
        <v>90</v>
      </c>
    </row>
    <row r="32" spans="1:5" ht="31.15" customHeight="1" x14ac:dyDescent="0.25">
      <c r="A32" s="514"/>
      <c r="B32" s="513"/>
      <c r="C32" s="118" t="str">
        <f>'инновации+добровольчество'!A86</f>
        <v>оказание гостиничных услуг</v>
      </c>
      <c r="D32" s="377" t="str">
        <f>'инновации+добровольчество'!D86</f>
        <v>шт</v>
      </c>
      <c r="E32" s="181">
        <f>'инновации+добровольчество'!E86</f>
        <v>2</v>
      </c>
    </row>
    <row r="33" spans="1:5" ht="12" customHeight="1" x14ac:dyDescent="0.25">
      <c r="A33" s="514"/>
      <c r="B33" s="513"/>
      <c r="C33" s="518" t="s">
        <v>147</v>
      </c>
      <c r="D33" s="519"/>
      <c r="E33" s="520"/>
    </row>
    <row r="34" spans="1:5" ht="12" customHeight="1" x14ac:dyDescent="0.25">
      <c r="A34" s="514"/>
      <c r="B34" s="513"/>
      <c r="C34" s="518" t="s">
        <v>148</v>
      </c>
      <c r="D34" s="519"/>
      <c r="E34" s="520"/>
    </row>
    <row r="35" spans="1:5" ht="21" customHeight="1" x14ac:dyDescent="0.25">
      <c r="A35" s="514"/>
      <c r="B35" s="513"/>
      <c r="C35" s="12" t="str">
        <f>'инновации+добровольчество'!A126</f>
        <v>Теплоэнергия</v>
      </c>
      <c r="D35" s="126" t="str">
        <f>'инновации+добровольчество'!B126</f>
        <v>Гкал</v>
      </c>
      <c r="E35" s="127">
        <f>'инновации+добровольчество'!D126</f>
        <v>18.425000000000001</v>
      </c>
    </row>
    <row r="36" spans="1:5" ht="12" customHeight="1" x14ac:dyDescent="0.25">
      <c r="A36" s="514"/>
      <c r="B36" s="513"/>
      <c r="C36" s="12" t="str">
        <f>'инновации+добровольчество'!A127</f>
        <v>Водоснабжение 1 полугодие</v>
      </c>
      <c r="D36" s="126" t="str">
        <f>'инновации+добровольчество'!B127</f>
        <v>м3</v>
      </c>
      <c r="E36" s="127">
        <f>'инновации+добровольчество'!D127</f>
        <v>35.610500000000002</v>
      </c>
    </row>
    <row r="37" spans="1:5" ht="12" customHeight="1" x14ac:dyDescent="0.25">
      <c r="A37" s="514"/>
      <c r="B37" s="513"/>
      <c r="C37" s="12" t="str">
        <f>'инновации+добровольчество'!A128</f>
        <v>Водоснабжение 2 полугодие</v>
      </c>
      <c r="D37" s="126" t="str">
        <f>'инновации+добровольчество'!B128</f>
        <v>м3</v>
      </c>
      <c r="E37" s="127">
        <f>'инновации+добровольчество'!D128</f>
        <v>35.610500000000002</v>
      </c>
    </row>
    <row r="38" spans="1:5" ht="12" customHeight="1" x14ac:dyDescent="0.25">
      <c r="A38" s="514"/>
      <c r="B38" s="513"/>
      <c r="C38" s="12" t="str">
        <f>'инновации+добровольчество'!A129</f>
        <v>Электроэнергия</v>
      </c>
      <c r="D38" s="126" t="str">
        <f>'инновации+добровольчество'!B129</f>
        <v>КВТ/ч</v>
      </c>
      <c r="E38" s="127">
        <f>'инновации+добровольчество'!D129</f>
        <v>3.4706000000000001</v>
      </c>
    </row>
    <row r="39" spans="1:5" ht="12" customHeight="1" x14ac:dyDescent="0.25">
      <c r="A39" s="514"/>
      <c r="B39" s="513"/>
      <c r="C39" s="12" t="str">
        <f>'инновации+добровольчество'!A130</f>
        <v>Водоотведение (септик)  откачка асс. машиной 6 раз в год</v>
      </c>
      <c r="D39" s="126" t="str">
        <f>'инновации+добровольчество'!B130</f>
        <v>дог</v>
      </c>
      <c r="E39" s="127">
        <f>'инновации+добровольчество'!D130</f>
        <v>4.0200000000000005</v>
      </c>
    </row>
    <row r="40" spans="1:5" ht="14.45" customHeight="1" x14ac:dyDescent="0.25">
      <c r="A40" s="514"/>
      <c r="B40" s="513"/>
      <c r="C40" s="317" t="str">
        <f>'инновации+добровольчество'!A131</f>
        <v>ТКО</v>
      </c>
      <c r="D40" s="317" t="str">
        <f>'инновации+добровольчество'!B131</f>
        <v>м3</v>
      </c>
      <c r="E40" s="126">
        <f>'инновации+добровольчество'!D131</f>
        <v>1.2180600000000001</v>
      </c>
    </row>
    <row r="41" spans="1:5" ht="26.25" customHeight="1" x14ac:dyDescent="0.25">
      <c r="A41" s="514"/>
      <c r="B41" s="513"/>
      <c r="C41" s="521" t="s">
        <v>149</v>
      </c>
      <c r="D41" s="522"/>
      <c r="E41" s="523"/>
    </row>
    <row r="42" spans="1:5" ht="14.45" customHeight="1" x14ac:dyDescent="0.25">
      <c r="A42" s="514"/>
      <c r="B42" s="513"/>
      <c r="C42" s="135" t="str">
        <f>'инновации+добровольчество'!A170</f>
        <v xml:space="preserve">Обслуживание систем пожарной сигнализации  </v>
      </c>
      <c r="D42" s="126" t="s">
        <v>22</v>
      </c>
      <c r="E42" s="286">
        <f>'инновации+добровольчество'!D170</f>
        <v>4.0200000000000005</v>
      </c>
    </row>
    <row r="43" spans="1:5" ht="14.45" customHeight="1" x14ac:dyDescent="0.25">
      <c r="A43" s="514"/>
      <c r="B43" s="513"/>
      <c r="C43" s="135" t="str">
        <f>'инновации+добровольчество'!A171</f>
        <v xml:space="preserve">Уборка территории от снега </v>
      </c>
      <c r="D43" s="126" t="s">
        <v>22</v>
      </c>
      <c r="E43" s="286">
        <f>'инновации+добровольчество'!D171</f>
        <v>0.67</v>
      </c>
    </row>
    <row r="44" spans="1:5" ht="14.45" customHeight="1" x14ac:dyDescent="0.25">
      <c r="A44" s="514"/>
      <c r="B44" s="513"/>
      <c r="C44" s="135" t="str">
        <f>'инновации+добровольчество'!A172</f>
        <v>Профилактическая дезинфекция</v>
      </c>
      <c r="D44" s="126" t="s">
        <v>22</v>
      </c>
      <c r="E44" s="286">
        <f>'инновации+добровольчество'!D172</f>
        <v>0.33500000000000002</v>
      </c>
    </row>
    <row r="45" spans="1:5" ht="14.45" customHeight="1" x14ac:dyDescent="0.25">
      <c r="A45" s="514"/>
      <c r="B45" s="513"/>
      <c r="C45" s="135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D45" s="126" t="s">
        <v>22</v>
      </c>
      <c r="E45" s="286">
        <f>'инновации+добровольчество'!D173</f>
        <v>0.33500000000000002</v>
      </c>
    </row>
    <row r="46" spans="1:5" ht="14.45" customHeight="1" x14ac:dyDescent="0.25">
      <c r="A46" s="514"/>
      <c r="B46" s="513"/>
      <c r="C46" s="135" t="str">
        <f>'инновации+добровольчество'!A174</f>
        <v>Договор осмотр технического состояния автомобиля</v>
      </c>
      <c r="D46" s="126" t="s">
        <v>22</v>
      </c>
      <c r="E46" s="286">
        <f>'инновации+добровольчество'!D174</f>
        <v>28.475000000000001</v>
      </c>
    </row>
    <row r="47" spans="1:5" ht="22.5" customHeight="1" x14ac:dyDescent="0.25">
      <c r="A47" s="514"/>
      <c r="B47" s="513"/>
      <c r="C47" s="135" t="str">
        <f>'инновации+добровольчество'!A175</f>
        <v>Разбор и сбор моста</v>
      </c>
      <c r="D47" s="126" t="s">
        <v>22</v>
      </c>
      <c r="E47" s="286">
        <f>'инновации+добровольчество'!D175</f>
        <v>0.33500000000000002</v>
      </c>
    </row>
    <row r="48" spans="1:5" ht="19.5" customHeight="1" x14ac:dyDescent="0.25">
      <c r="A48" s="514"/>
      <c r="B48" s="513"/>
      <c r="C48" s="135" t="str">
        <f>'инновации+добровольчество'!A176</f>
        <v>Правка передней оси под прессом</v>
      </c>
      <c r="D48" s="126" t="s">
        <v>22</v>
      </c>
      <c r="E48" s="286">
        <f>'инновации+добровольчество'!D195</f>
        <v>0.33500000000000002</v>
      </c>
    </row>
    <row r="49" spans="1:5" ht="13.5" customHeight="1" x14ac:dyDescent="0.25">
      <c r="A49" s="514"/>
      <c r="B49" s="513"/>
      <c r="C49" s="135" t="str">
        <f>'инновации+добровольчество'!A177</f>
        <v>Ремонт шкворня</v>
      </c>
      <c r="D49" s="126" t="s">
        <v>22</v>
      </c>
      <c r="E49" s="286">
        <f>'инновации+добровольчество'!D196</f>
        <v>0.33500000000000002</v>
      </c>
    </row>
    <row r="50" spans="1:5" ht="17.25" customHeight="1" x14ac:dyDescent="0.25">
      <c r="A50" s="514"/>
      <c r="B50" s="513"/>
      <c r="C50" s="135" t="str">
        <f>'инновации+добровольчество'!A178</f>
        <v>Ремонт поворотной цапфы</v>
      </c>
      <c r="D50" s="126" t="s">
        <v>22</v>
      </c>
      <c r="E50" s="286">
        <f>'инновации+добровольчество'!D197</f>
        <v>0.33500000000000002</v>
      </c>
    </row>
    <row r="51" spans="1:5" ht="35.25" customHeight="1" x14ac:dyDescent="0.25">
      <c r="A51" s="514"/>
      <c r="B51" s="513"/>
      <c r="C51" s="135" t="str">
        <f>'инновации+добровольчество'!A179</f>
        <v>Восстановление площадки под крепление рессор</v>
      </c>
      <c r="D51" s="126" t="s">
        <v>22</v>
      </c>
      <c r="E51" s="286">
        <f>'инновации+добровольчество'!D198</f>
        <v>0.33500000000000002</v>
      </c>
    </row>
    <row r="52" spans="1:5" ht="20.25" customHeight="1" x14ac:dyDescent="0.25">
      <c r="A52" s="514"/>
      <c r="B52" s="513"/>
      <c r="C52" s="135" t="str">
        <f>'инновации+добровольчество'!A180</f>
        <v>Обработка абразивным кругом</v>
      </c>
      <c r="D52" s="126" t="s">
        <v>22</v>
      </c>
      <c r="E52" s="286">
        <f>'инновации+добровольчество'!D199</f>
        <v>0.33500000000000002</v>
      </c>
    </row>
    <row r="53" spans="1:5" x14ac:dyDescent="0.25">
      <c r="A53" s="514"/>
      <c r="B53" s="513"/>
      <c r="C53" s="135" t="str">
        <f>'инновации+добровольчество'!A181</f>
        <v>Ремонт шестерней редуктора</v>
      </c>
      <c r="D53" s="126" t="s">
        <v>22</v>
      </c>
      <c r="E53" s="286">
        <f>'инновации+добровольчество'!D200</f>
        <v>0.33500000000000002</v>
      </c>
    </row>
    <row r="54" spans="1:5" ht="18" customHeight="1" x14ac:dyDescent="0.25">
      <c r="A54" s="514"/>
      <c r="B54" s="513"/>
      <c r="C54" s="135" t="str">
        <f>'инновации+добровольчество'!A182</f>
        <v>Ремонт главной пары передний и задний мост</v>
      </c>
      <c r="D54" s="126" t="s">
        <v>22</v>
      </c>
      <c r="E54" s="286">
        <f>'инновации+добровольчество'!D201</f>
        <v>0.33500000000000002</v>
      </c>
    </row>
    <row r="55" spans="1:5" ht="12" customHeight="1" x14ac:dyDescent="0.25">
      <c r="A55" s="514"/>
      <c r="B55" s="513"/>
      <c r="C55" s="135" t="str">
        <f>'инновации+добровольчество'!A183</f>
        <v>Покраска переднего бампера</v>
      </c>
      <c r="D55" s="126" t="s">
        <v>22</v>
      </c>
      <c r="E55" s="286">
        <f>'инновации+добровольчество'!$D183</f>
        <v>0.33500000000000002</v>
      </c>
    </row>
    <row r="56" spans="1:5" ht="21" customHeight="1" x14ac:dyDescent="0.25">
      <c r="A56" s="514"/>
      <c r="B56" s="513"/>
      <c r="C56" s="135" t="str">
        <f>'инновации+добровольчество'!A184</f>
        <v>Покраска капота</v>
      </c>
      <c r="D56" s="126" t="s">
        <v>22</v>
      </c>
      <c r="E56" s="286">
        <f>'инновации+добровольчество'!$D184</f>
        <v>0.33500000000000002</v>
      </c>
    </row>
    <row r="57" spans="1:5" ht="21" customHeight="1" x14ac:dyDescent="0.25">
      <c r="A57" s="514"/>
      <c r="B57" s="513"/>
      <c r="C57" s="135" t="str">
        <f>'инновации+добровольчество'!A185</f>
        <v>Покраска переднего левого крыла</v>
      </c>
      <c r="D57" s="126" t="s">
        <v>22</v>
      </c>
      <c r="E57" s="286">
        <f>'инновации+добровольчество'!$D185</f>
        <v>0.33500000000000002</v>
      </c>
    </row>
    <row r="58" spans="1:5" ht="21" customHeight="1" x14ac:dyDescent="0.25">
      <c r="A58" s="514"/>
      <c r="B58" s="513"/>
      <c r="C58" s="135" t="str">
        <f>'инновации+добровольчество'!A186</f>
        <v>Покраска переднего правого крыла</v>
      </c>
      <c r="D58" s="126" t="s">
        <v>22</v>
      </c>
      <c r="E58" s="286">
        <f>'инновации+добровольчество'!$D186</f>
        <v>0.33500000000000002</v>
      </c>
    </row>
    <row r="59" spans="1:5" ht="21" customHeight="1" x14ac:dyDescent="0.25">
      <c r="A59" s="514"/>
      <c r="B59" s="513"/>
      <c r="C59" s="135" t="str">
        <f>'инновации+добровольчество'!A187</f>
        <v>Покраска передней левой двери</v>
      </c>
      <c r="D59" s="126" t="s">
        <v>22</v>
      </c>
      <c r="E59" s="286">
        <f>'инновации+добровольчество'!$D187</f>
        <v>0.33500000000000002</v>
      </c>
    </row>
    <row r="60" spans="1:5" ht="21" customHeight="1" x14ac:dyDescent="0.25">
      <c r="A60" s="514"/>
      <c r="B60" s="513"/>
      <c r="C60" s="135" t="str">
        <f>'инновации+добровольчество'!A188</f>
        <v>Покраска двери передней правой</v>
      </c>
      <c r="D60" s="126" t="s">
        <v>22</v>
      </c>
      <c r="E60" s="286">
        <f>'инновации+добровольчество'!$D188</f>
        <v>0.33500000000000002</v>
      </c>
    </row>
    <row r="61" spans="1:5" ht="21" customHeight="1" x14ac:dyDescent="0.25">
      <c r="A61" s="514"/>
      <c r="B61" s="513"/>
      <c r="C61" s="135" t="str">
        <f>'инновации+добровольчество'!A189</f>
        <v>Покраска стойки правой</v>
      </c>
      <c r="D61" s="126" t="s">
        <v>22</v>
      </c>
      <c r="E61" s="286">
        <f>'инновации+добровольчество'!$D189</f>
        <v>0.33500000000000002</v>
      </c>
    </row>
    <row r="62" spans="1:5" ht="21" customHeight="1" x14ac:dyDescent="0.25">
      <c r="A62" s="514"/>
      <c r="B62" s="513"/>
      <c r="C62" s="135" t="str">
        <f>'инновации+добровольчество'!A190</f>
        <v>Ремонт заднего бампера</v>
      </c>
      <c r="D62" s="126" t="s">
        <v>22</v>
      </c>
      <c r="E62" s="286">
        <f>'инновации+добровольчество'!$D190</f>
        <v>0.33500000000000002</v>
      </c>
    </row>
    <row r="63" spans="1:5" ht="21" customHeight="1" x14ac:dyDescent="0.25">
      <c r="A63" s="514"/>
      <c r="B63" s="513"/>
      <c r="C63" s="135" t="str">
        <f>'инновации+добровольчество'!A191</f>
        <v>Покраска заднего бампера</v>
      </c>
      <c r="D63" s="126" t="s">
        <v>22</v>
      </c>
      <c r="E63" s="286">
        <f>'инновации+добровольчество'!$D191</f>
        <v>0.33500000000000002</v>
      </c>
    </row>
    <row r="64" spans="1:5" ht="21" customHeight="1" x14ac:dyDescent="0.25">
      <c r="A64" s="514"/>
      <c r="B64" s="513"/>
      <c r="C64" s="135" t="str">
        <f>'инновации+добровольчество'!A192</f>
        <v>Полировка кузова</v>
      </c>
      <c r="D64" s="126" t="s">
        <v>22</v>
      </c>
      <c r="E64" s="286">
        <f>'инновации+добровольчество'!$D192</f>
        <v>0.33500000000000002</v>
      </c>
    </row>
    <row r="65" spans="1:5" ht="21" customHeight="1" x14ac:dyDescent="0.25">
      <c r="A65" s="514"/>
      <c r="B65" s="513"/>
      <c r="C65" s="135" t="str">
        <f>'инновации+добровольчество'!A193</f>
        <v>Покраска крышки багажника</v>
      </c>
      <c r="D65" s="126" t="s">
        <v>22</v>
      </c>
      <c r="E65" s="286">
        <f>'инновации+добровольчество'!$D193</f>
        <v>0.33500000000000002</v>
      </c>
    </row>
    <row r="66" spans="1:5" ht="21" customHeight="1" x14ac:dyDescent="0.25">
      <c r="A66" s="514"/>
      <c r="B66" s="513"/>
      <c r="C66" s="135" t="str">
        <f>'инновации+добровольчество'!A194</f>
        <v>Полировка стекол со снятием</v>
      </c>
      <c r="D66" s="126" t="s">
        <v>22</v>
      </c>
      <c r="E66" s="286">
        <f>'инновации+добровольчество'!$D194</f>
        <v>0.33500000000000002</v>
      </c>
    </row>
    <row r="67" spans="1:5" ht="21" customHeight="1" x14ac:dyDescent="0.25">
      <c r="A67" s="514"/>
      <c r="B67" s="513"/>
      <c r="C67" s="135" t="str">
        <f>'инновации+добровольчество'!A195</f>
        <v>Слесарные работы по восстановлению сидений</v>
      </c>
      <c r="D67" s="126" t="s">
        <v>22</v>
      </c>
      <c r="E67" s="286">
        <f>'инновации+добровольчество'!$D195</f>
        <v>0.33500000000000002</v>
      </c>
    </row>
    <row r="68" spans="1:5" ht="21" customHeight="1" x14ac:dyDescent="0.25">
      <c r="A68" s="514"/>
      <c r="B68" s="513"/>
      <c r="C68" s="135" t="str">
        <f>'инновации+добровольчество'!A196</f>
        <v>Ремонт электрогитары</v>
      </c>
      <c r="D68" s="126" t="s">
        <v>22</v>
      </c>
      <c r="E68" s="286">
        <f>'инновации+добровольчество'!$D196</f>
        <v>0.33500000000000002</v>
      </c>
    </row>
    <row r="69" spans="1:5" ht="21" customHeight="1" x14ac:dyDescent="0.25">
      <c r="A69" s="514"/>
      <c r="B69" s="513"/>
      <c r="C69" s="135" t="str">
        <f>'инновации+добровольчество'!A197</f>
        <v>Ремонт акустической системы</v>
      </c>
      <c r="D69" s="126" t="s">
        <v>22</v>
      </c>
      <c r="E69" s="286">
        <f>'инновации+добровольчество'!$D197</f>
        <v>0.33500000000000002</v>
      </c>
    </row>
    <row r="70" spans="1:5" ht="21" customHeight="1" x14ac:dyDescent="0.25">
      <c r="A70" s="514"/>
      <c r="B70" s="513"/>
      <c r="C70" s="135" t="str">
        <f>'инновации+добровольчество'!A198</f>
        <v>Ремонт микшера (USB канал)</v>
      </c>
      <c r="D70" s="126" t="s">
        <v>22</v>
      </c>
      <c r="E70" s="286">
        <f>'инновации+добровольчество'!$D198</f>
        <v>0.33500000000000002</v>
      </c>
    </row>
    <row r="71" spans="1:5" ht="21" customHeight="1" x14ac:dyDescent="0.25">
      <c r="A71" s="514"/>
      <c r="B71" s="513"/>
      <c r="C71" s="135" t="str">
        <f>'инновации+добровольчество'!A199</f>
        <v>Ремонт комбо басовый</v>
      </c>
      <c r="D71" s="126" t="s">
        <v>22</v>
      </c>
      <c r="E71" s="286">
        <f>'инновации+добровольчество'!$D199</f>
        <v>0.33500000000000002</v>
      </c>
    </row>
    <row r="72" spans="1:5" ht="21" customHeight="1" x14ac:dyDescent="0.25">
      <c r="A72" s="514"/>
      <c r="B72" s="513"/>
      <c r="C72" s="135" t="str">
        <f>'инновации+добровольчество'!A200</f>
        <v>Ремонт Гитарного комбоусителя</v>
      </c>
      <c r="D72" s="126" t="s">
        <v>22</v>
      </c>
      <c r="E72" s="286">
        <f>'инновации+добровольчество'!$D200</f>
        <v>0.33500000000000002</v>
      </c>
    </row>
    <row r="73" spans="1:5" ht="21" customHeight="1" x14ac:dyDescent="0.25">
      <c r="A73" s="514"/>
      <c r="B73" s="513"/>
      <c r="C73" s="135" t="str">
        <f>'инновации+добровольчество'!A201</f>
        <v>Ремонт аккустической системы</v>
      </c>
      <c r="D73" s="126" t="s">
        <v>22</v>
      </c>
      <c r="E73" s="286">
        <f>'инновации+добровольчество'!$D201</f>
        <v>0.33500000000000002</v>
      </c>
    </row>
    <row r="74" spans="1:5" ht="21" customHeight="1" x14ac:dyDescent="0.25">
      <c r="A74" s="514"/>
      <c r="B74" s="513"/>
      <c r="C74" s="135" t="str">
        <f>'инновации+добровольчество'!A202</f>
        <v>Ремонт микшера (сгоревшие каналы)</v>
      </c>
      <c r="D74" s="126" t="s">
        <v>22</v>
      </c>
      <c r="E74" s="286">
        <f>'инновации+добровольчество'!$D202</f>
        <v>0.33500000000000002</v>
      </c>
    </row>
    <row r="75" spans="1:5" ht="21" customHeight="1" x14ac:dyDescent="0.25">
      <c r="A75" s="514"/>
      <c r="B75" s="513"/>
      <c r="C75" s="533" t="s">
        <v>150</v>
      </c>
      <c r="D75" s="534"/>
      <c r="E75" s="535"/>
    </row>
    <row r="76" spans="1:5" ht="21" customHeight="1" x14ac:dyDescent="0.25">
      <c r="A76" s="514"/>
      <c r="B76" s="513"/>
      <c r="C76" s="128" t="str">
        <f>'инновации+добровольчество'!A148</f>
        <v>Договор ВЗ (связь по краю)</v>
      </c>
      <c r="D76" s="155" t="s">
        <v>95</v>
      </c>
      <c r="E76" s="286">
        <f>'инновации+добровольчество'!D148</f>
        <v>0.33500000000000002</v>
      </c>
    </row>
    <row r="77" spans="1:5" ht="21" customHeight="1" x14ac:dyDescent="0.25">
      <c r="A77" s="514"/>
      <c r="B77" s="513"/>
      <c r="C77" s="128" t="str">
        <f>'инновации+добровольчество'!A149</f>
        <v>Абоненская плата за услуги связи, номеров</v>
      </c>
      <c r="D77" s="155" t="s">
        <v>22</v>
      </c>
      <c r="E77" s="286">
        <f>'инновации+добровольчество'!D149</f>
        <v>0.33500000000000002</v>
      </c>
    </row>
    <row r="78" spans="1:5" ht="21" customHeight="1" x14ac:dyDescent="0.25">
      <c r="A78" s="514"/>
      <c r="B78" s="513"/>
      <c r="C78" s="128" t="str">
        <f>'инновации+добровольчество'!A150</f>
        <v>Абоненская плата за услуги Интернет кайтнет</v>
      </c>
      <c r="D78" s="155" t="s">
        <v>37</v>
      </c>
      <c r="E78" s="286">
        <f>'инновации+добровольчество'!D150</f>
        <v>0.33500000000000002</v>
      </c>
    </row>
    <row r="79" spans="1:5" ht="21" customHeight="1" x14ac:dyDescent="0.25">
      <c r="A79" s="514"/>
      <c r="B79" s="513"/>
      <c r="C79" s="128" t="str">
        <f>'инновации+добровольчество'!A151</f>
        <v>Абоненская плата за услуги Интернет ИП Крамаренко:</v>
      </c>
      <c r="D79" s="155" t="s">
        <v>37</v>
      </c>
      <c r="E79" s="286">
        <f>'инновации+добровольчество'!D151</f>
        <v>0.33500000000000002</v>
      </c>
    </row>
    <row r="80" spans="1:5" ht="21" customHeight="1" x14ac:dyDescent="0.25">
      <c r="A80" s="514"/>
      <c r="B80" s="513"/>
      <c r="C80" s="128" t="str">
        <f>'инновации+добровольчество'!A152</f>
        <v>Тариф Бизнес начальный</v>
      </c>
      <c r="D80" s="155" t="s">
        <v>38</v>
      </c>
      <c r="E80" s="286">
        <f>'инновации+добровольчество'!D152</f>
        <v>0.33500000000000002</v>
      </c>
    </row>
    <row r="81" spans="1:5" ht="16.149999999999999" customHeight="1" x14ac:dyDescent="0.25">
      <c r="A81" s="514"/>
      <c r="B81" s="513"/>
      <c r="C81" s="128" t="str">
        <f>'инновации+добровольчество'!A153</f>
        <v>Тариф Бизнес</v>
      </c>
      <c r="D81" s="155" t="s">
        <v>38</v>
      </c>
      <c r="E81" s="286">
        <f>'инновации+добровольчество'!D153</f>
        <v>0.33500000000000002</v>
      </c>
    </row>
    <row r="82" spans="1:5" ht="15.6" customHeight="1" x14ac:dyDescent="0.25">
      <c r="A82" s="514"/>
      <c r="B82" s="513"/>
      <c r="C82" s="128" t="str">
        <f>'инновации+добровольчество'!A154</f>
        <v>Почтовые услуги</v>
      </c>
      <c r="D82" s="155" t="s">
        <v>22</v>
      </c>
      <c r="E82" s="286">
        <f>'инновации+добровольчество'!D154</f>
        <v>0.33500000000000002</v>
      </c>
    </row>
    <row r="83" spans="1:5" s="156" customFormat="1" ht="12" customHeight="1" x14ac:dyDescent="0.2">
      <c r="A83" s="514"/>
      <c r="B83" s="513"/>
      <c r="C83" s="536" t="s">
        <v>151</v>
      </c>
      <c r="D83" s="537"/>
      <c r="E83" s="538"/>
    </row>
    <row r="84" spans="1:5" s="156" customFormat="1" ht="12" customHeight="1" x14ac:dyDescent="0.2">
      <c r="A84" s="514"/>
      <c r="B84" s="513"/>
      <c r="C84" s="117" t="s">
        <v>216</v>
      </c>
      <c r="D84" s="157" t="s">
        <v>155</v>
      </c>
      <c r="E84" s="287">
        <f>'инновации+добровольчество'!E93</f>
        <v>0.33500000000000002</v>
      </c>
    </row>
    <row r="85" spans="1:5" s="156" customFormat="1" ht="12" customHeight="1" x14ac:dyDescent="0.2">
      <c r="A85" s="514"/>
      <c r="B85" s="513"/>
      <c r="C85" s="129" t="s">
        <v>153</v>
      </c>
      <c r="D85" s="157" t="s">
        <v>146</v>
      </c>
      <c r="E85" s="287">
        <f>'инновации+добровольчество'!E94</f>
        <v>0.33500000000000002</v>
      </c>
    </row>
    <row r="86" spans="1:5" s="156" customFormat="1" ht="12" customHeight="1" x14ac:dyDescent="0.2">
      <c r="A86" s="514"/>
      <c r="B86" s="513"/>
      <c r="C86" s="129" t="s">
        <v>96</v>
      </c>
      <c r="D86" s="157" t="s">
        <v>146</v>
      </c>
      <c r="E86" s="287">
        <f>'инновации+добровольчество'!E95</f>
        <v>0.16750000000000001</v>
      </c>
    </row>
    <row r="87" spans="1:5" s="156" customFormat="1" ht="12" customHeight="1" x14ac:dyDescent="0.2">
      <c r="A87" s="514"/>
      <c r="B87" s="513"/>
      <c r="C87" s="129" t="s">
        <v>154</v>
      </c>
      <c r="D87" s="157" t="s">
        <v>146</v>
      </c>
      <c r="E87" s="287">
        <f>'инновации+добровольчество'!E96</f>
        <v>0.33500000000000002</v>
      </c>
    </row>
    <row r="88" spans="1:5" s="156" customFormat="1" ht="12" customHeight="1" x14ac:dyDescent="0.2">
      <c r="A88" s="514"/>
      <c r="B88" s="513"/>
      <c r="C88" s="507" t="s">
        <v>158</v>
      </c>
      <c r="D88" s="508"/>
      <c r="E88" s="509"/>
    </row>
    <row r="89" spans="1:5" s="156" customFormat="1" ht="12" customHeight="1" x14ac:dyDescent="0.2">
      <c r="A89" s="514"/>
      <c r="B89" s="513"/>
      <c r="C89" s="131" t="str">
        <f>'инновации+добровольчество'!A114</f>
        <v>Пособие по уходу за ребенком до 3-х лет</v>
      </c>
      <c r="D89" s="132" t="s">
        <v>134</v>
      </c>
      <c r="E89" s="283">
        <f>E84</f>
        <v>0.33500000000000002</v>
      </c>
    </row>
    <row r="90" spans="1:5" ht="13.5" customHeight="1" x14ac:dyDescent="0.25">
      <c r="A90" s="514"/>
      <c r="B90" s="513"/>
      <c r="C90" s="131" t="str">
        <f>'инновации+добровольчество'!A115</f>
        <v>выплата пособия на период трудоустройства (Остропицкая)</v>
      </c>
      <c r="D90" s="132" t="s">
        <v>134</v>
      </c>
      <c r="E90" s="283">
        <f t="shared" ref="E90:E92" si="0">E85</f>
        <v>0.33500000000000002</v>
      </c>
    </row>
    <row r="91" spans="1:5" s="156" customFormat="1" ht="12" customHeight="1" x14ac:dyDescent="0.2">
      <c r="A91" s="514"/>
      <c r="B91" s="513"/>
      <c r="C91" s="131" t="str">
        <f>'инновации+добровольчество'!A116</f>
        <v>выплата пособия на период трудоустройства (Королёва)</v>
      </c>
      <c r="D91" s="132" t="s">
        <v>134</v>
      </c>
      <c r="E91" s="283">
        <f>E90</f>
        <v>0.33500000000000002</v>
      </c>
    </row>
    <row r="92" spans="1:5" s="156" customFormat="1" ht="12" customHeight="1" x14ac:dyDescent="0.2">
      <c r="A92" s="514"/>
      <c r="B92" s="513"/>
      <c r="C92" s="131" t="str">
        <f>'инновации+добровольчество'!A117</f>
        <v>выплата пособия на период трудоустройства (Ахмерова)</v>
      </c>
      <c r="D92" s="132" t="s">
        <v>134</v>
      </c>
      <c r="E92" s="283">
        <f t="shared" si="0"/>
        <v>0.33500000000000002</v>
      </c>
    </row>
    <row r="93" spans="1:5" s="156" customFormat="1" ht="12" customHeight="1" x14ac:dyDescent="0.2">
      <c r="A93" s="514"/>
      <c r="B93" s="513"/>
      <c r="C93" s="536" t="s">
        <v>159</v>
      </c>
      <c r="D93" s="537"/>
      <c r="E93" s="538"/>
    </row>
    <row r="94" spans="1:5" s="156" customFormat="1" ht="12" customHeight="1" x14ac:dyDescent="0.2">
      <c r="A94" s="514"/>
      <c r="B94" s="513"/>
      <c r="C94" s="130" t="s">
        <v>287</v>
      </c>
      <c r="D94" s="108" t="s">
        <v>39</v>
      </c>
      <c r="E94" s="279">
        <f>'инновации+добровольчество'!E138</f>
        <v>0.33500000000000002</v>
      </c>
    </row>
    <row r="95" spans="1:5" ht="28.15" customHeight="1" x14ac:dyDescent="0.25">
      <c r="A95" s="514"/>
      <c r="B95" s="513"/>
      <c r="C95" s="130" t="s">
        <v>288</v>
      </c>
      <c r="D95" s="108" t="s">
        <v>39</v>
      </c>
      <c r="E95" s="279">
        <f>'инновации+добровольчество'!E139</f>
        <v>0.33500000000000002</v>
      </c>
    </row>
    <row r="96" spans="1:5" ht="28.15" customHeight="1" x14ac:dyDescent="0.25">
      <c r="A96" s="514"/>
      <c r="B96" s="513"/>
      <c r="C96" s="130" t="s">
        <v>289</v>
      </c>
      <c r="D96" s="108" t="s">
        <v>39</v>
      </c>
      <c r="E96" s="279">
        <f>'инновации+добровольчество'!E140</f>
        <v>0.33500000000000002</v>
      </c>
    </row>
    <row r="97" spans="1:5" ht="28.15" customHeight="1" x14ac:dyDescent="0.25">
      <c r="A97" s="514"/>
      <c r="B97" s="513"/>
      <c r="C97" s="510" t="s">
        <v>160</v>
      </c>
      <c r="D97" s="511"/>
      <c r="E97" s="512"/>
    </row>
    <row r="98" spans="1:5" ht="28.15" customHeight="1" x14ac:dyDescent="0.25">
      <c r="A98" s="514"/>
      <c r="B98" s="513"/>
      <c r="C98" s="133" t="str">
        <f>'инновации+добровольчество'!A161</f>
        <v>Проезд к месту учебы</v>
      </c>
      <c r="D98" s="134" t="s">
        <v>134</v>
      </c>
      <c r="E98" s="88">
        <f>'инновации+добровольчество'!D161</f>
        <v>0.33500000000000002</v>
      </c>
    </row>
    <row r="99" spans="1:5" ht="22.15" customHeight="1" x14ac:dyDescent="0.25">
      <c r="A99" s="514"/>
      <c r="B99" s="513"/>
      <c r="C99" s="133" t="str">
        <f>'инновации+добровольчество'!A162</f>
        <v>Провоз груза 2000 кг (1 кг=9,50 руб)</v>
      </c>
      <c r="D99" s="134" t="s">
        <v>22</v>
      </c>
      <c r="E99" s="88">
        <f>'инновации+добровольчество'!D162</f>
        <v>0.33500000000000002</v>
      </c>
    </row>
    <row r="100" spans="1:5" ht="40.15" customHeight="1" x14ac:dyDescent="0.25">
      <c r="A100" s="514"/>
      <c r="B100" s="513"/>
      <c r="C100" s="533" t="s">
        <v>161</v>
      </c>
      <c r="D100" s="534"/>
      <c r="E100" s="535"/>
    </row>
    <row r="101" spans="1:5" ht="24" customHeight="1" x14ac:dyDescent="0.25">
      <c r="A101" s="514"/>
      <c r="B101" s="513"/>
      <c r="C101" s="120" t="str">
        <f>'инновации+добровольчество'!A209</f>
        <v>Обучение персонала и тепловые сети</v>
      </c>
      <c r="D101" s="69" t="str">
        <f>'инновации+добровольчество'!B209</f>
        <v>договор</v>
      </c>
      <c r="E101" s="181">
        <f>'инновации+добровольчество'!D209</f>
        <v>0.67</v>
      </c>
    </row>
    <row r="102" spans="1:5" ht="24" customHeight="1" x14ac:dyDescent="0.25">
      <c r="A102" s="514"/>
      <c r="B102" s="513"/>
      <c r="C102" s="120" t="str">
        <f>'инновации+добровольчество'!A210</f>
        <v>обучение персонала</v>
      </c>
      <c r="D102" s="69" t="str">
        <f>'инновации+добровольчество'!B210</f>
        <v>дог</v>
      </c>
      <c r="E102" s="181">
        <f>'инновации+добровольчество'!D210</f>
        <v>0.33500000000000002</v>
      </c>
    </row>
    <row r="103" spans="1:5" ht="18.75" customHeight="1" x14ac:dyDescent="0.25">
      <c r="A103" s="514"/>
      <c r="B103" s="513"/>
      <c r="C103" s="120" t="str">
        <f>'инновации+добровольчество'!A211</f>
        <v>Услуги СЕМИС подписка</v>
      </c>
      <c r="D103" s="69" t="str">
        <f>'инновации+добровольчество'!B211</f>
        <v>договор</v>
      </c>
      <c r="E103" s="181">
        <f>'инновации+добровольчество'!D211</f>
        <v>0.33500000000000002</v>
      </c>
    </row>
    <row r="104" spans="1:5" ht="18.75" customHeight="1" x14ac:dyDescent="0.25">
      <c r="A104" s="514"/>
      <c r="B104" s="513"/>
      <c r="C104" s="120" t="str">
        <f>'инновации+добровольчество'!A212</f>
        <v>изготовление плакетки, печать дипломов, изготовление значков</v>
      </c>
      <c r="D104" s="69" t="str">
        <f>'инновации+добровольчество'!B212</f>
        <v>договор</v>
      </c>
      <c r="E104" s="181">
        <f>'инновации+добровольчество'!D212</f>
        <v>0.33500000000000002</v>
      </c>
    </row>
    <row r="105" spans="1:5" ht="24" customHeight="1" x14ac:dyDescent="0.25">
      <c r="A105" s="514"/>
      <c r="B105" s="513"/>
      <c r="C105" s="120" t="str">
        <f>'инновации+добровольчество'!A213</f>
        <v xml:space="preserve">Обслуживание систем пожарной сигнализации  </v>
      </c>
      <c r="D105" s="69" t="str">
        <f>'инновации+добровольчество'!B213</f>
        <v>договор</v>
      </c>
      <c r="E105" s="181">
        <f>'инновации+добровольчество'!D213</f>
        <v>0.33500000000000002</v>
      </c>
    </row>
    <row r="106" spans="1:5" ht="24" customHeight="1" x14ac:dyDescent="0.25">
      <c r="A106" s="514"/>
      <c r="B106" s="513"/>
      <c r="C106" s="120" t="str">
        <f>'инновации+добровольчество'!A214</f>
        <v xml:space="preserve">Обслуживание систем видеонаблюдения </v>
      </c>
      <c r="D106" s="69" t="str">
        <f>'инновации+добровольчество'!B214</f>
        <v>договор</v>
      </c>
      <c r="E106" s="181">
        <f>'инновации+добровольчество'!D214</f>
        <v>4.0200000000000005</v>
      </c>
    </row>
    <row r="107" spans="1:5" ht="18.600000000000001" customHeight="1" x14ac:dyDescent="0.25">
      <c r="A107" s="514"/>
      <c r="B107" s="513"/>
      <c r="C107" s="120" t="str">
        <f>'инновации+добровольчество'!A215</f>
        <v>Предрейсовое медицинское обследование 247дней*90руб</v>
      </c>
      <c r="D107" s="69" t="str">
        <f>'инновации+добровольчество'!B215</f>
        <v>договор</v>
      </c>
      <c r="E107" s="181">
        <f>'инновации+добровольчество'!D215</f>
        <v>0.33500000000000002</v>
      </c>
    </row>
    <row r="108" spans="1:5" ht="15.6" customHeight="1" x14ac:dyDescent="0.25">
      <c r="A108" s="514"/>
      <c r="B108" s="513"/>
      <c r="C108" s="120" t="str">
        <f>'инновации+добровольчество'!A216</f>
        <v xml:space="preserve">Услуги охраны  </v>
      </c>
      <c r="D108" s="69" t="str">
        <f>'инновации+добровольчество'!B216</f>
        <v>договор</v>
      </c>
      <c r="E108" s="181">
        <f>'инновации+добровольчество'!D216</f>
        <v>4.0200000000000005</v>
      </c>
    </row>
    <row r="109" spans="1:5" ht="12" customHeight="1" x14ac:dyDescent="0.25">
      <c r="A109" s="514"/>
      <c r="B109" s="513"/>
      <c r="C109" s="120" t="str">
        <f>'инновации+добровольчество'!A217</f>
        <v>Обслуживание систем охранных средств сигнализации (тревожная кнопка)</v>
      </c>
      <c r="D109" s="69" t="str">
        <f>'инновации+добровольчество'!B217</f>
        <v>договор</v>
      </c>
      <c r="E109" s="181">
        <f>'инновации+добровольчество'!D217</f>
        <v>4.0200000000000005</v>
      </c>
    </row>
    <row r="110" spans="1:5" ht="12" customHeight="1" x14ac:dyDescent="0.25">
      <c r="A110" s="514"/>
      <c r="B110" s="513"/>
      <c r="C110" s="120" t="str">
        <f>'инновации+добровольчество'!A218</f>
        <v>Организация светового сопровождения мероприятия</v>
      </c>
      <c r="D110" s="69" t="str">
        <f>'инновации+добровольчество'!B218</f>
        <v>договор</v>
      </c>
      <c r="E110" s="181">
        <f>'инновации+добровольчество'!D218</f>
        <v>0.33500000000000002</v>
      </c>
    </row>
    <row r="111" spans="1:5" ht="12" customHeight="1" x14ac:dyDescent="0.25">
      <c r="A111" s="514"/>
      <c r="B111" s="513"/>
      <c r="C111" s="120" t="str">
        <f>'инновации+добровольчество'!A219</f>
        <v xml:space="preserve">прохождение мед осмотра при устройстве на работу </v>
      </c>
      <c r="D111" s="69" t="str">
        <f>'инновации+добровольчество'!B219</f>
        <v>договор</v>
      </c>
      <c r="E111" s="181">
        <f>'инновации+добровольчество'!D219</f>
        <v>1.34</v>
      </c>
    </row>
    <row r="112" spans="1:5" ht="12" customHeight="1" x14ac:dyDescent="0.25">
      <c r="A112" s="514"/>
      <c r="B112" s="513"/>
      <c r="C112" s="120" t="str">
        <f>'инновации+добровольчество'!A220</f>
        <v>Прохождение предварительного мед осмотра</v>
      </c>
      <c r="D112" s="69" t="str">
        <f>'инновации+добровольчество'!B220</f>
        <v>договор</v>
      </c>
      <c r="E112" s="181">
        <f>'инновации+добровольчество'!D220</f>
        <v>0.33500000000000002</v>
      </c>
    </row>
    <row r="113" spans="1:5" ht="12" customHeight="1" x14ac:dyDescent="0.25">
      <c r="A113" s="514"/>
      <c r="B113" s="513"/>
      <c r="C113" s="120" t="str">
        <f>'инновации+добровольчество'!A221</f>
        <v>Организация питания воинов-интернационалистов</v>
      </c>
      <c r="D113" s="69" t="str">
        <f>'инновации+добровольчество'!B221</f>
        <v>договор</v>
      </c>
      <c r="E113" s="181">
        <f>'инновации+добровольчество'!D221</f>
        <v>0.33500000000000002</v>
      </c>
    </row>
    <row r="114" spans="1:5" ht="12" customHeight="1" x14ac:dyDescent="0.25">
      <c r="A114" s="514"/>
      <c r="B114" s="513"/>
      <c r="C114" s="120" t="str">
        <f>'инновации+добровольчество'!A222</f>
        <v>Мед осмотр водителя</v>
      </c>
      <c r="D114" s="69" t="str">
        <f>'инновации+добровольчество'!B222</f>
        <v>договор</v>
      </c>
      <c r="E114" s="181">
        <f>'инновации+добровольчество'!D222</f>
        <v>0.33500000000000002</v>
      </c>
    </row>
    <row r="115" spans="1:5" ht="12" customHeight="1" x14ac:dyDescent="0.25">
      <c r="A115" s="514"/>
      <c r="B115" s="513"/>
      <c r="C115" s="120" t="str">
        <f>'инновации+добровольчество'!A223</f>
        <v>Страховая премия по полису ОСАГО за УАЗ</v>
      </c>
      <c r="D115" s="69" t="str">
        <f>'инновации+добровольчество'!B223</f>
        <v>договор</v>
      </c>
      <c r="E115" s="181">
        <f>'инновации+добровольчество'!D223</f>
        <v>0.33500000000000002</v>
      </c>
    </row>
    <row r="116" spans="1:5" ht="12" customHeight="1" x14ac:dyDescent="0.25">
      <c r="A116" s="514"/>
      <c r="B116" s="513"/>
      <c r="C116" s="120" t="str">
        <f>'инновации+добровольчество'!A224</f>
        <v>Microsoft Windows</v>
      </c>
      <c r="D116" s="69" t="str">
        <f>'инновации+добровольчество'!B224</f>
        <v>договор</v>
      </c>
      <c r="E116" s="181">
        <f>'инновации+добровольчество'!D224</f>
        <v>2.3450000000000002</v>
      </c>
    </row>
    <row r="117" spans="1:5" ht="12" customHeight="1" x14ac:dyDescent="0.25">
      <c r="A117" s="514"/>
      <c r="B117" s="513"/>
      <c r="C117" s="120" t="str">
        <f>'инновации+добровольчество'!A225</f>
        <v>Microsoft Offise</v>
      </c>
      <c r="D117" s="69" t="str">
        <f>'инновации+добровольчество'!B225</f>
        <v>договор</v>
      </c>
      <c r="E117" s="181">
        <f>'инновации+добровольчество'!D225</f>
        <v>0.67</v>
      </c>
    </row>
    <row r="118" spans="1:5" ht="12" customHeight="1" x14ac:dyDescent="0.25">
      <c r="A118" s="514"/>
      <c r="B118" s="513"/>
      <c r="C118" s="120" t="str">
        <f>'инновации+добровольчество'!A226</f>
        <v>Dr Web Security</v>
      </c>
      <c r="D118" s="69" t="str">
        <f>'инновации+добровольчество'!B226</f>
        <v>договор</v>
      </c>
      <c r="E118" s="181">
        <f>'инновации+добровольчество'!D226</f>
        <v>0.33500000000000002</v>
      </c>
    </row>
    <row r="119" spans="1:5" ht="12" customHeight="1" x14ac:dyDescent="0.25">
      <c r="A119" s="514"/>
      <c r="B119" s="513"/>
      <c r="C119" s="120" t="str">
        <f>'инновации+добровольчество'!A227</f>
        <v>Dr Web Security Spase</v>
      </c>
      <c r="D119" s="69" t="str">
        <f>'инновации+добровольчество'!B227</f>
        <v>договор</v>
      </c>
      <c r="E119" s="181">
        <f>'инновации+добровольчество'!D227</f>
        <v>0.33500000000000002</v>
      </c>
    </row>
    <row r="120" spans="1:5" ht="12" hidden="1" customHeight="1" x14ac:dyDescent="0.25">
      <c r="A120" s="514"/>
      <c r="B120" s="513"/>
      <c r="C120" s="120" t="str">
        <f>'инновации+добровольчество'!A228</f>
        <v>Оплата гос пошлины</v>
      </c>
      <c r="D120" s="69" t="str">
        <f>'инновации+добровольчество'!B228</f>
        <v>ед</v>
      </c>
      <c r="E120" s="181">
        <f>'инновации+добровольчество'!D228</f>
        <v>0</v>
      </c>
    </row>
    <row r="121" spans="1:5" ht="12" hidden="1" customHeight="1" x14ac:dyDescent="0.25">
      <c r="A121" s="514"/>
      <c r="B121" s="513"/>
      <c r="C121" s="120" t="str">
        <f>'инновации+добровольчество'!A229</f>
        <v xml:space="preserve">Оплата за негативное воздействие </v>
      </c>
      <c r="D121" s="69" t="str">
        <f>'инновации+добровольчество'!B229</f>
        <v>ед</v>
      </c>
      <c r="E121" s="181">
        <f>'инновации+добровольчество'!D229</f>
        <v>0</v>
      </c>
    </row>
    <row r="122" spans="1:5" ht="12" customHeight="1" x14ac:dyDescent="0.25">
      <c r="A122" s="514"/>
      <c r="B122" s="513"/>
      <c r="C122" s="120" t="str">
        <f>'инновации+добровольчество'!A230</f>
        <v>ПУГНП</v>
      </c>
      <c r="D122" s="69" t="str">
        <f>'инновации+добровольчество'!B230</f>
        <v>шт</v>
      </c>
      <c r="E122" s="181">
        <f>'инновации+добровольчество'!D230</f>
        <v>16.75</v>
      </c>
    </row>
    <row r="123" spans="1:5" ht="12" customHeight="1" x14ac:dyDescent="0.25">
      <c r="A123" s="514"/>
      <c r="B123" s="513"/>
      <c r="C123" s="120" t="str">
        <f>'инновации+добровольчество'!A231</f>
        <v>пакет майка</v>
      </c>
      <c r="D123" s="69" t="str">
        <f>'инновации+добровольчество'!B231</f>
        <v>шт</v>
      </c>
      <c r="E123" s="181">
        <f>'инновации+добровольчество'!D231</f>
        <v>0.33500000000000002</v>
      </c>
    </row>
    <row r="124" spans="1:5" ht="12" customHeight="1" x14ac:dyDescent="0.25">
      <c r="A124" s="514"/>
      <c r="B124" s="513"/>
      <c r="C124" s="120" t="str">
        <f>'инновации+добровольчество'!A232</f>
        <v>розетка</v>
      </c>
      <c r="D124" s="69" t="str">
        <f>'инновации+добровольчество'!B232</f>
        <v>шт</v>
      </c>
      <c r="E124" s="181">
        <f>'инновации+добровольчество'!D232</f>
        <v>1.675</v>
      </c>
    </row>
    <row r="125" spans="1:5" ht="12" customHeight="1" x14ac:dyDescent="0.25">
      <c r="A125" s="514"/>
      <c r="B125" s="513"/>
      <c r="C125" s="120" t="str">
        <f>'инновации+добровольчество'!A233</f>
        <v>Вилка евро</v>
      </c>
      <c r="D125" s="69" t="str">
        <f>'инновации+добровольчество'!B233</f>
        <v>шт</v>
      </c>
      <c r="E125" s="181">
        <f>'инновации+добровольчество'!D233</f>
        <v>1.675</v>
      </c>
    </row>
    <row r="126" spans="1:5" ht="12" customHeight="1" x14ac:dyDescent="0.25">
      <c r="A126" s="514"/>
      <c r="B126" s="513"/>
      <c r="C126" s="120" t="str">
        <f>'инновации+добровольчество'!A234</f>
        <v>розетка "Пралеска"</v>
      </c>
      <c r="D126" s="69" t="str">
        <f>'инновации+добровольчество'!B234</f>
        <v>шт</v>
      </c>
      <c r="E126" s="181">
        <f>'инновации+добровольчество'!D234</f>
        <v>1.0050000000000001</v>
      </c>
    </row>
    <row r="127" spans="1:5" ht="12" customHeight="1" x14ac:dyDescent="0.25">
      <c r="A127" s="514"/>
      <c r="B127" s="513"/>
      <c r="C127" s="120" t="str">
        <f>'инновации+добровольчество'!A235</f>
        <v>лампа "Онлайт"</v>
      </c>
      <c r="D127" s="69" t="str">
        <f>'инновации+добровольчество'!B235</f>
        <v>шт</v>
      </c>
      <c r="E127" s="181">
        <f>'инновации+добровольчество'!D235</f>
        <v>8.7100000000000009</v>
      </c>
    </row>
    <row r="128" spans="1:5" ht="12" customHeight="1" x14ac:dyDescent="0.25">
      <c r="A128" s="514"/>
      <c r="B128" s="513"/>
      <c r="C128" s="120" t="str">
        <f>'инновации+добровольчество'!A236</f>
        <v>пугнп</v>
      </c>
      <c r="D128" s="69" t="str">
        <f>'инновации+добровольчество'!B236</f>
        <v>шт</v>
      </c>
      <c r="E128" s="181">
        <f>'инновации+добровольчество'!D236</f>
        <v>2.3450000000000002</v>
      </c>
    </row>
    <row r="129" spans="1:5" ht="12" customHeight="1" x14ac:dyDescent="0.25">
      <c r="A129" s="514"/>
      <c r="B129" s="513"/>
      <c r="C129" s="120" t="str">
        <f>'инновации+добровольчество'!A237</f>
        <v>светильник точечный</v>
      </c>
      <c r="D129" s="69" t="str">
        <f>'инновации+добровольчество'!B237</f>
        <v>шт</v>
      </c>
      <c r="E129" s="181">
        <f>'инновации+добровольчество'!D237</f>
        <v>3.35</v>
      </c>
    </row>
    <row r="130" spans="1:5" ht="12" customHeight="1" x14ac:dyDescent="0.25">
      <c r="A130" s="514"/>
      <c r="B130" s="513"/>
      <c r="C130" s="120" t="str">
        <f>'инновации+добровольчество'!A238</f>
        <v>светильник точечный</v>
      </c>
      <c r="D130" s="69" t="str">
        <f>'инновации+добровольчество'!B238</f>
        <v>шт</v>
      </c>
      <c r="E130" s="181">
        <f>'инновации+добровольчество'!D238</f>
        <v>3.35</v>
      </c>
    </row>
    <row r="131" spans="1:5" ht="12" customHeight="1" x14ac:dyDescent="0.25">
      <c r="A131" s="514"/>
      <c r="B131" s="513"/>
      <c r="C131" s="120" t="str">
        <f>'инновации+добровольчество'!A239</f>
        <v>светильник точечный</v>
      </c>
      <c r="D131" s="69" t="str">
        <f>'инновации+добровольчество'!B239</f>
        <v>шт</v>
      </c>
      <c r="E131" s="181">
        <f>'инновации+добровольчество'!D239</f>
        <v>2.0100000000000002</v>
      </c>
    </row>
    <row r="132" spans="1:5" ht="12" customHeight="1" x14ac:dyDescent="0.25">
      <c r="A132" s="514"/>
      <c r="B132" s="513"/>
      <c r="C132" s="120" t="str">
        <f>'инновации+добровольчество'!A240</f>
        <v>эмаль аэрозоль</v>
      </c>
      <c r="D132" s="69" t="str">
        <f>'инновации+добровольчество'!B240</f>
        <v>шт</v>
      </c>
      <c r="E132" s="181">
        <f>'инновации+добровольчество'!D240</f>
        <v>0.67</v>
      </c>
    </row>
    <row r="133" spans="1:5" ht="12" customHeight="1" x14ac:dyDescent="0.25">
      <c r="A133" s="514"/>
      <c r="B133" s="513"/>
      <c r="C133" s="120" t="str">
        <f>'инновации+добровольчество'!A241</f>
        <v>пила сегментная</v>
      </c>
      <c r="D133" s="69" t="str">
        <f>'инновации+добровольчество'!B241</f>
        <v>шт</v>
      </c>
      <c r="E133" s="181">
        <f>'инновации+добровольчество'!D241</f>
        <v>0.33500000000000002</v>
      </c>
    </row>
    <row r="134" spans="1:5" ht="12" customHeight="1" x14ac:dyDescent="0.25">
      <c r="A134" s="514"/>
      <c r="B134" s="513"/>
      <c r="C134" s="120" t="str">
        <f>'инновации+добровольчество'!A242</f>
        <v>комплект крепежей для батареи</v>
      </c>
      <c r="D134" s="69" t="str">
        <f>'инновации+добровольчество'!B242</f>
        <v>шт</v>
      </c>
      <c r="E134" s="181">
        <f>'инновации+добровольчество'!D242</f>
        <v>1.0050000000000001</v>
      </c>
    </row>
    <row r="135" spans="1:5" ht="15" customHeight="1" x14ac:dyDescent="0.25">
      <c r="A135" s="514"/>
      <c r="B135" s="513"/>
      <c r="C135" s="120" t="str">
        <f>'инновации+добровольчество'!A243</f>
        <v>набор для радиатора</v>
      </c>
      <c r="D135" s="69" t="str">
        <f>'инновации+добровольчество'!B243</f>
        <v>шт</v>
      </c>
      <c r="E135" s="181">
        <f>'инновации+добровольчество'!D243</f>
        <v>1.0050000000000001</v>
      </c>
    </row>
    <row r="136" spans="1:5" x14ac:dyDescent="0.25">
      <c r="A136" s="514"/>
      <c r="B136" s="513"/>
      <c r="C136" s="120" t="str">
        <f>'инновации+добровольчество'!A244</f>
        <v>лампа "Онлайт"</v>
      </c>
      <c r="D136" s="69" t="str">
        <f>'инновации+добровольчество'!B244</f>
        <v>шт</v>
      </c>
      <c r="E136" s="181">
        <f>'инновации+добровольчество'!D244</f>
        <v>1.675</v>
      </c>
    </row>
    <row r="137" spans="1:5" x14ac:dyDescent="0.25">
      <c r="A137" s="514"/>
      <c r="B137" s="513"/>
      <c r="C137" s="120" t="str">
        <f>'инновации+добровольчество'!A245</f>
        <v>Прожектор светодиодный</v>
      </c>
      <c r="D137" s="69" t="str">
        <f>'инновации+добровольчество'!B245</f>
        <v>шт</v>
      </c>
      <c r="E137" s="181">
        <f>'инновации+добровольчество'!D245</f>
        <v>0.67</v>
      </c>
    </row>
    <row r="138" spans="1:5" x14ac:dyDescent="0.25">
      <c r="A138" s="514"/>
      <c r="B138" s="513"/>
      <c r="C138" s="120" t="str">
        <f>'инновации+добровольчество'!A246</f>
        <v>скотч 48 мм</v>
      </c>
      <c r="D138" s="69" t="str">
        <f>'инновации+добровольчество'!B246</f>
        <v>шт</v>
      </c>
      <c r="E138" s="181">
        <f>'инновации+добровольчество'!D246</f>
        <v>4.0200000000000005</v>
      </c>
    </row>
    <row r="139" spans="1:5" x14ac:dyDescent="0.25">
      <c r="A139" s="514"/>
      <c r="B139" s="513"/>
      <c r="C139" s="120" t="str">
        <f>'инновации+добровольчество'!A247</f>
        <v>скотч армированный</v>
      </c>
      <c r="D139" s="69" t="str">
        <f>'инновации+добровольчество'!B247</f>
        <v>шт</v>
      </c>
      <c r="E139" s="181">
        <f>'инновации+добровольчество'!D247</f>
        <v>0.67</v>
      </c>
    </row>
    <row r="140" spans="1:5" x14ac:dyDescent="0.25">
      <c r="A140" s="514"/>
      <c r="B140" s="513"/>
      <c r="C140" s="120" t="str">
        <f>'инновации+добровольчество'!A248</f>
        <v>эмаль аэрозоль металлик</v>
      </c>
      <c r="D140" s="69" t="str">
        <f>'инновации+добровольчество'!B248</f>
        <v>шт</v>
      </c>
      <c r="E140" s="181">
        <f>'инновации+добровольчество'!D248</f>
        <v>0.33500000000000002</v>
      </c>
    </row>
    <row r="141" spans="1:5" x14ac:dyDescent="0.25">
      <c r="A141" s="514"/>
      <c r="B141" s="513"/>
      <c r="C141" s="120" t="str">
        <f>'инновации+добровольчество'!A249</f>
        <v>эмаль аэрозоль коричн</v>
      </c>
      <c r="D141" s="69" t="str">
        <f>'инновации+добровольчество'!B249</f>
        <v>шт</v>
      </c>
      <c r="E141" s="181">
        <f>'инновации+добровольчество'!D249</f>
        <v>0.33500000000000002</v>
      </c>
    </row>
    <row r="142" spans="1:5" x14ac:dyDescent="0.25">
      <c r="A142" s="514"/>
      <c r="B142" s="513"/>
      <c r="C142" s="120" t="str">
        <f>'инновации+добровольчество'!A250</f>
        <v>эмаль разн цвет</v>
      </c>
      <c r="D142" s="69" t="str">
        <f>'инновации+добровольчество'!B250</f>
        <v>шт</v>
      </c>
      <c r="E142" s="181">
        <f>'инновации+добровольчество'!D250</f>
        <v>1.34</v>
      </c>
    </row>
    <row r="143" spans="1:5" x14ac:dyDescent="0.25">
      <c r="A143" s="514"/>
      <c r="B143" s="513"/>
      <c r="C143" s="120" t="str">
        <f>'инновации+добровольчество'!A251</f>
        <v>скоба</v>
      </c>
      <c r="D143" s="69" t="str">
        <f>'инновации+добровольчество'!B251</f>
        <v>шт</v>
      </c>
      <c r="E143" s="181">
        <f>'инновации+добровольчество'!D251</f>
        <v>1.675</v>
      </c>
    </row>
    <row r="144" spans="1:5" x14ac:dyDescent="0.25">
      <c r="A144" s="514"/>
      <c r="B144" s="513"/>
      <c r="C144" s="120" t="str">
        <f>'инновации+добровольчество'!A252</f>
        <v>стяжка для провода</v>
      </c>
      <c r="D144" s="69" t="str">
        <f>'инновации+добровольчество'!B252</f>
        <v>шт</v>
      </c>
      <c r="E144" s="181">
        <f>'инновации+добровольчество'!D252</f>
        <v>0.67</v>
      </c>
    </row>
    <row r="145" spans="1:5" x14ac:dyDescent="0.25">
      <c r="A145" s="514"/>
      <c r="B145" s="513"/>
      <c r="C145" s="120" t="str">
        <f>'инновации+добровольчество'!A253</f>
        <v>стяжка для провода</v>
      </c>
      <c r="D145" s="69" t="str">
        <f>'инновации+добровольчество'!B253</f>
        <v>шт</v>
      </c>
      <c r="E145" s="181">
        <f>'инновации+добровольчество'!D253</f>
        <v>0.67</v>
      </c>
    </row>
    <row r="146" spans="1:5" x14ac:dyDescent="0.25">
      <c r="A146" s="514"/>
      <c r="B146" s="513"/>
      <c r="C146" s="120" t="str">
        <f>'инновации+добровольчество'!A254</f>
        <v>дюбель</v>
      </c>
      <c r="D146" s="69" t="str">
        <f>'инновации+добровольчество'!B254</f>
        <v>шт</v>
      </c>
      <c r="E146" s="181">
        <f>'инновации+добровольчество'!D254</f>
        <v>66.665000000000006</v>
      </c>
    </row>
    <row r="147" spans="1:5" x14ac:dyDescent="0.25">
      <c r="A147" s="514"/>
      <c r="B147" s="513"/>
      <c r="C147" s="120" t="str">
        <f>'инновации+добровольчество'!A255</f>
        <v>бокорезы</v>
      </c>
      <c r="D147" s="69" t="str">
        <f>'инновации+добровольчество'!B255</f>
        <v>шт</v>
      </c>
      <c r="E147" s="181">
        <f>'инновации+добровольчество'!D255</f>
        <v>0.33500000000000002</v>
      </c>
    </row>
    <row r="148" spans="1:5" x14ac:dyDescent="0.25">
      <c r="A148" s="514"/>
      <c r="B148" s="513"/>
      <c r="C148" s="120" t="str">
        <f>'инновации+добровольчество'!A256</f>
        <v>плоскогубцы</v>
      </c>
      <c r="D148" s="69" t="str">
        <f>'инновации+добровольчество'!B256</f>
        <v>шт</v>
      </c>
      <c r="E148" s="181">
        <f>'инновации+добровольчество'!D256</f>
        <v>0.33500000000000002</v>
      </c>
    </row>
    <row r="149" spans="1:5" x14ac:dyDescent="0.25">
      <c r="A149" s="514"/>
      <c r="B149" s="513"/>
      <c r="C149" s="120" t="str">
        <f>'инновации+добровольчество'!A257</f>
        <v>бита</v>
      </c>
      <c r="D149" s="69" t="str">
        <f>'инновации+добровольчество'!B257</f>
        <v>шт</v>
      </c>
      <c r="E149" s="181">
        <f>'инновации+добровольчество'!D257</f>
        <v>0.33500000000000002</v>
      </c>
    </row>
    <row r="150" spans="1:5" x14ac:dyDescent="0.25">
      <c r="A150" s="514"/>
      <c r="B150" s="513"/>
      <c r="C150" s="120" t="str">
        <f>'инновации+добровольчество'!A258</f>
        <v>бита</v>
      </c>
      <c r="D150" s="69" t="str">
        <f>'инновации+добровольчество'!B258</f>
        <v>шт</v>
      </c>
      <c r="E150" s="181">
        <f>'инновации+добровольчество'!D258</f>
        <v>0.33500000000000002</v>
      </c>
    </row>
    <row r="151" spans="1:5" x14ac:dyDescent="0.25">
      <c r="A151" s="514"/>
      <c r="B151" s="513"/>
      <c r="C151" s="120" t="str">
        <f>'инновации+добровольчество'!A259</f>
        <v>угольник</v>
      </c>
      <c r="D151" s="69" t="str">
        <f>'инновации+добровольчество'!B259</f>
        <v>шт</v>
      </c>
      <c r="E151" s="181">
        <f>'инновации+добровольчество'!D259</f>
        <v>0.33500000000000002</v>
      </c>
    </row>
    <row r="152" spans="1:5" x14ac:dyDescent="0.25">
      <c r="A152" s="514"/>
      <c r="B152" s="513"/>
      <c r="C152" s="120" t="str">
        <f>'инновации+добровольчество'!A260</f>
        <v>угольник</v>
      </c>
      <c r="D152" s="69" t="str">
        <f>'инновации+добровольчество'!B260</f>
        <v>шт</v>
      </c>
      <c r="E152" s="181">
        <f>'инновации+добровольчество'!D260</f>
        <v>0.33500000000000002</v>
      </c>
    </row>
    <row r="153" spans="1:5" x14ac:dyDescent="0.25">
      <c r="A153" s="514"/>
      <c r="B153" s="513"/>
      <c r="C153" s="120" t="str">
        <f>'инновации+добровольчество'!A261</f>
        <v>штангенциркуль</v>
      </c>
      <c r="D153" s="69" t="str">
        <f>'инновации+добровольчество'!B261</f>
        <v>шт</v>
      </c>
      <c r="E153" s="181">
        <f>'инновации+добровольчество'!D261</f>
        <v>0.33500000000000002</v>
      </c>
    </row>
    <row r="154" spans="1:5" x14ac:dyDescent="0.25">
      <c r="A154" s="514"/>
      <c r="B154" s="513"/>
      <c r="C154" s="120" t="str">
        <f>'инновации+добровольчество'!A262</f>
        <v>пугнп 2*1,5</v>
      </c>
      <c r="D154" s="69" t="str">
        <f>'инновации+добровольчество'!B262</f>
        <v>шт</v>
      </c>
      <c r="E154" s="181">
        <f>'инновации+добровольчество'!D262</f>
        <v>67</v>
      </c>
    </row>
    <row r="155" spans="1:5" x14ac:dyDescent="0.25">
      <c r="A155" s="514"/>
      <c r="B155" s="513"/>
      <c r="C155" s="120" t="str">
        <f>'инновации+добровольчество'!A263</f>
        <v>пугнп 2*2,5</v>
      </c>
      <c r="D155" s="69" t="str">
        <f>'инновации+добровольчество'!B263</f>
        <v>шт</v>
      </c>
      <c r="E155" s="181">
        <f>'инновации+добровольчество'!D263</f>
        <v>67</v>
      </c>
    </row>
    <row r="156" spans="1:5" x14ac:dyDescent="0.25">
      <c r="A156" s="514"/>
      <c r="B156" s="513"/>
      <c r="C156" s="120" t="str">
        <f>'инновации+добровольчество'!A264</f>
        <v>зажимы</v>
      </c>
      <c r="D156" s="69" t="str">
        <f>'инновации+добровольчество'!B264</f>
        <v>шт</v>
      </c>
      <c r="E156" s="181">
        <f>'инновации+добровольчество'!D264</f>
        <v>1.675</v>
      </c>
    </row>
    <row r="157" spans="1:5" x14ac:dyDescent="0.25">
      <c r="A157" s="514"/>
      <c r="B157" s="513"/>
      <c r="C157" s="120" t="str">
        <f>'инновации+добровольчество'!A265</f>
        <v>коробка установочная</v>
      </c>
      <c r="D157" s="69" t="str">
        <f>'инновации+добровольчество'!B265</f>
        <v>шт</v>
      </c>
      <c r="E157" s="181">
        <f>'инновации+добровольчество'!D265</f>
        <v>3.35</v>
      </c>
    </row>
    <row r="158" spans="1:5" x14ac:dyDescent="0.25">
      <c r="A158" s="514"/>
      <c r="B158" s="513"/>
      <c r="C158" s="120" t="str">
        <f>'инновации+добровольчество'!A266</f>
        <v>розетка</v>
      </c>
      <c r="D158" s="69" t="str">
        <f>'инновации+добровольчество'!B266</f>
        <v>шт</v>
      </c>
      <c r="E158" s="181">
        <f>'инновации+добровольчество'!D266</f>
        <v>3.35</v>
      </c>
    </row>
    <row r="159" spans="1:5" x14ac:dyDescent="0.25">
      <c r="A159" s="514"/>
      <c r="B159" s="513"/>
      <c r="C159" s="120" t="str">
        <f>'инновации+добровольчество'!A267</f>
        <v>розетка</v>
      </c>
      <c r="D159" s="69" t="str">
        <f>'инновации+добровольчество'!B267</f>
        <v>шт</v>
      </c>
      <c r="E159" s="181">
        <f>'инновации+добровольчество'!D267</f>
        <v>1.675</v>
      </c>
    </row>
    <row r="160" spans="1:5" x14ac:dyDescent="0.25">
      <c r="A160" s="514"/>
      <c r="B160" s="513"/>
      <c r="C160" s="120" t="str">
        <f>'инновации+добровольчество'!A268</f>
        <v>вилка прямая</v>
      </c>
      <c r="D160" s="69" t="str">
        <f>'инновации+добровольчество'!B268</f>
        <v>шт</v>
      </c>
      <c r="E160" s="181">
        <f>'инновации+добровольчество'!D268</f>
        <v>0.33500000000000002</v>
      </c>
    </row>
    <row r="161" spans="1:5" x14ac:dyDescent="0.25">
      <c r="A161" s="514"/>
      <c r="B161" s="513"/>
      <c r="C161" s="120" t="str">
        <f>'инновации+добровольчество'!A269</f>
        <v>вилка белая</v>
      </c>
      <c r="D161" s="69" t="str">
        <f>'инновации+добровольчество'!B269</f>
        <v>шт</v>
      </c>
      <c r="E161" s="181">
        <f>'инновации+добровольчество'!D269</f>
        <v>1.34</v>
      </c>
    </row>
    <row r="162" spans="1:5" x14ac:dyDescent="0.25">
      <c r="A162" s="514"/>
      <c r="B162" s="513"/>
      <c r="C162" s="120" t="str">
        <f>'инновации+добровольчество'!A270</f>
        <v>саморез 3,5*51</v>
      </c>
      <c r="D162" s="69" t="str">
        <f>'инновации+добровольчество'!B270</f>
        <v>шт</v>
      </c>
      <c r="E162" s="181">
        <f>'инновации+добровольчество'!D270</f>
        <v>244.55</v>
      </c>
    </row>
    <row r="163" spans="1:5" x14ac:dyDescent="0.25">
      <c r="A163" s="514"/>
      <c r="B163" s="513"/>
      <c r="C163" s="120" t="str">
        <f>'инновации+добровольчество'!A271</f>
        <v>саморез 4,2*70</v>
      </c>
      <c r="D163" s="69" t="str">
        <f>'инновации+добровольчество'!B271</f>
        <v>шт</v>
      </c>
      <c r="E163" s="181">
        <f>'инновации+добровольчество'!D271</f>
        <v>301.5</v>
      </c>
    </row>
    <row r="164" spans="1:5" x14ac:dyDescent="0.25">
      <c r="A164" s="514"/>
      <c r="B164" s="513"/>
      <c r="C164" s="120" t="str">
        <f>'инновации+добровольчество'!A272</f>
        <v>набор пилок</v>
      </c>
      <c r="D164" s="69" t="str">
        <f>'инновации+добровольчество'!B272</f>
        <v>шт</v>
      </c>
      <c r="E164" s="181">
        <f>'инновации+добровольчество'!D272</f>
        <v>1.0050000000000001</v>
      </c>
    </row>
    <row r="165" spans="1:5" x14ac:dyDescent="0.25">
      <c r="A165" s="514"/>
      <c r="B165" s="513"/>
      <c r="C165" s="120" t="str">
        <f>'инновации+добровольчество'!A273</f>
        <v>комплект радиатора</v>
      </c>
      <c r="D165" s="69" t="str">
        <f>'инновации+добровольчество'!B273</f>
        <v>шт</v>
      </c>
      <c r="E165" s="181">
        <f>'инновации+добровольчество'!D273</f>
        <v>3.35</v>
      </c>
    </row>
    <row r="166" spans="1:5" x14ac:dyDescent="0.25">
      <c r="A166" s="514"/>
      <c r="B166" s="513"/>
      <c r="C166" s="120" t="str">
        <f>'инновации+добровольчество'!A274</f>
        <v>кран шаровый</v>
      </c>
      <c r="D166" s="69" t="str">
        <f>'инновации+добровольчество'!B274</f>
        <v>шт</v>
      </c>
      <c r="E166" s="181">
        <f>'инновации+добровольчество'!D274</f>
        <v>6.7</v>
      </c>
    </row>
    <row r="167" spans="1:5" x14ac:dyDescent="0.25">
      <c r="A167" s="514"/>
      <c r="B167" s="513"/>
      <c r="C167" s="120" t="str">
        <f>'инновации+добровольчество'!A275</f>
        <v>Лопата</v>
      </c>
      <c r="D167" s="69" t="str">
        <f>'инновации+добровольчество'!B275</f>
        <v>шт</v>
      </c>
      <c r="E167" s="181">
        <f>'инновации+добровольчество'!D275</f>
        <v>0.33500000000000002</v>
      </c>
    </row>
    <row r="168" spans="1:5" x14ac:dyDescent="0.25">
      <c r="A168" s="514"/>
      <c r="B168" s="513"/>
      <c r="C168" s="120" t="str">
        <f>'инновации+добровольчество'!A276</f>
        <v>Пружина</v>
      </c>
      <c r="D168" s="69" t="str">
        <f>'инновации+добровольчество'!B276</f>
        <v>шт</v>
      </c>
      <c r="E168" s="181">
        <f>'инновации+добровольчество'!D276</f>
        <v>8.375</v>
      </c>
    </row>
    <row r="169" spans="1:5" x14ac:dyDescent="0.25">
      <c r="A169" s="514"/>
      <c r="B169" s="513"/>
      <c r="C169" s="120" t="str">
        <f>'инновации+добровольчество'!A277</f>
        <v>смазка, мешки д/мусора, манжета</v>
      </c>
      <c r="D169" s="69" t="str">
        <f>'инновации+добровольчество'!B277</f>
        <v>шт</v>
      </c>
      <c r="E169" s="181">
        <f>'инновации+добровольчество'!D277</f>
        <v>0.33500000000000002</v>
      </c>
    </row>
    <row r="170" spans="1:5" x14ac:dyDescent="0.25">
      <c r="A170" s="514"/>
      <c r="B170" s="513"/>
      <c r="C170" s="120" t="str">
        <f>'инновации+добровольчество'!A278</f>
        <v>ГСМ Дизтопливо</v>
      </c>
      <c r="D170" s="69" t="str">
        <f>'инновации+добровольчество'!B278</f>
        <v>шт</v>
      </c>
      <c r="E170" s="181">
        <f>'инновации+добровольчество'!D278</f>
        <v>0.33500000000000002</v>
      </c>
    </row>
    <row r="171" spans="1:5" x14ac:dyDescent="0.25">
      <c r="A171" s="514"/>
      <c r="B171" s="513"/>
      <c r="C171" s="120" t="str">
        <f>'инновации+добровольчество'!A279</f>
        <v>ГСМ 12,1457л.*247дней*44,27 руб.</v>
      </c>
      <c r="D171" s="69" t="str">
        <f>'инновации+добровольчество'!B279</f>
        <v>шт</v>
      </c>
      <c r="E171" s="181">
        <f>'инновации+добровольчество'!D279</f>
        <v>23.499580000000002</v>
      </c>
    </row>
    <row r="172" spans="1:5" x14ac:dyDescent="0.25">
      <c r="A172" s="514"/>
      <c r="B172" s="513"/>
      <c r="C172" s="120" t="str">
        <f>'инновации+добровольчество'!A280</f>
        <v>грабли, черенок, лопата</v>
      </c>
      <c r="D172" s="69" t="str">
        <f>'инновации+добровольчество'!B280</f>
        <v>шт</v>
      </c>
      <c r="E172" s="181">
        <f>'инновации+добровольчество'!D280</f>
        <v>0.33500000000000002</v>
      </c>
    </row>
    <row r="173" spans="1:5" x14ac:dyDescent="0.25">
      <c r="A173" s="514"/>
      <c r="B173" s="513"/>
      <c r="C173" s="120" t="str">
        <f>'инновации+добровольчество'!A281</f>
        <v>Чехол для кресла-мешка</v>
      </c>
      <c r="D173" s="69" t="str">
        <f>'инновации+добровольчество'!B281</f>
        <v>шт</v>
      </c>
      <c r="E173" s="181">
        <f>'инновации+добровольчество'!D281</f>
        <v>2.0100000000000002</v>
      </c>
    </row>
    <row r="174" spans="1:5" x14ac:dyDescent="0.25">
      <c r="A174" s="514"/>
      <c r="B174" s="513"/>
      <c r="C174" s="120" t="str">
        <f>'инновации+добровольчество'!A282</f>
        <v>Наполнитель для кресла-мешка</v>
      </c>
      <c r="D174" s="69" t="str">
        <f>'инновации+добровольчество'!B282</f>
        <v>шт</v>
      </c>
      <c r="E174" s="181">
        <f>'инновации+добровольчество'!D282</f>
        <v>0.67</v>
      </c>
    </row>
    <row r="175" spans="1:5" x14ac:dyDescent="0.25">
      <c r="A175" s="514"/>
      <c r="B175" s="513"/>
      <c r="C175" s="120" t="str">
        <f>'инновации+добровольчество'!A283</f>
        <v>Фотобумага IST глянцевая 100 листов односторонняя 230гр/м</v>
      </c>
      <c r="D175" s="69" t="str">
        <f>'инновации+добровольчество'!B283</f>
        <v>шт</v>
      </c>
      <c r="E175" s="181">
        <f>'инновации+добровольчество'!D283</f>
        <v>3.35</v>
      </c>
    </row>
    <row r="176" spans="1:5" x14ac:dyDescent="0.25">
      <c r="A176" s="514"/>
      <c r="B176" s="513"/>
      <c r="C176" s="120" t="str">
        <f>'инновации+добровольчество'!A284</f>
        <v>Фотобумага IST глянцевая 100 листов односторонняя 180гр/м</v>
      </c>
      <c r="D176" s="69" t="str">
        <f>'инновации+добровольчество'!B284</f>
        <v>шт</v>
      </c>
      <c r="E176" s="181">
        <f>'инновации+добровольчество'!D284</f>
        <v>3.35</v>
      </c>
    </row>
    <row r="177" spans="1:5" x14ac:dyDescent="0.25">
      <c r="A177" s="514"/>
      <c r="B177" s="513"/>
      <c r="C177" s="120" t="str">
        <f>'инновации+добровольчество'!A285</f>
        <v>Фотобумага IST глянцевая 100 листов односторонняя 190гр/м</v>
      </c>
      <c r="D177" s="69" t="str">
        <f>'инновации+добровольчество'!B285</f>
        <v>шт</v>
      </c>
      <c r="E177" s="181">
        <f>'инновации+добровольчество'!D285</f>
        <v>6.7</v>
      </c>
    </row>
    <row r="178" spans="1:5" ht="15" customHeight="1" x14ac:dyDescent="0.25">
      <c r="A178" s="514"/>
      <c r="B178" s="513"/>
      <c r="C178" s="120" t="str">
        <f>'инновации+добровольчество'!A286</f>
        <v>Тонер ECOSYS</v>
      </c>
      <c r="D178" s="69" t="str">
        <f>'инновации+добровольчество'!B286</f>
        <v>шт</v>
      </c>
      <c r="E178" s="181">
        <f>'инновации+добровольчество'!D286</f>
        <v>0.67</v>
      </c>
    </row>
    <row r="179" spans="1:5" ht="15" customHeight="1" x14ac:dyDescent="0.25">
      <c r="A179" s="514"/>
      <c r="B179" s="513"/>
      <c r="C179" s="120" t="str">
        <f>'инновации+добровольчество'!A287</f>
        <v>Картридж НР С2Р42АЕ</v>
      </c>
      <c r="D179" s="69" t="str">
        <f>'инновации+добровольчество'!B287</f>
        <v>шт</v>
      </c>
      <c r="E179" s="181">
        <f>'инновации+добровольчество'!D287</f>
        <v>0.67</v>
      </c>
    </row>
    <row r="180" spans="1:5" ht="15" customHeight="1" x14ac:dyDescent="0.25">
      <c r="A180" s="514"/>
      <c r="B180" s="513"/>
      <c r="C180" s="120" t="str">
        <f>'инновации+добровольчество'!A288</f>
        <v>Аккумулятор X-TREME Arctik  78.1</v>
      </c>
      <c r="D180" s="69" t="str">
        <f>'инновации+добровольчество'!B288</f>
        <v>шт</v>
      </c>
      <c r="E180" s="181">
        <f>'инновации+добровольчество'!D288</f>
        <v>0.33500000000000002</v>
      </c>
    </row>
    <row r="181" spans="1:5" ht="22.5" x14ac:dyDescent="0.25">
      <c r="A181" s="514"/>
      <c r="B181" s="513"/>
      <c r="C181" s="120" t="str">
        <f>'инновации+добровольчество'!A289</f>
        <v>Амортизатор УАЗ 3159 задн. TRIALLI газомасл.3159-2915006 (3159-2915006)</v>
      </c>
      <c r="D181" s="69" t="str">
        <f>'инновации+добровольчество'!B289</f>
        <v>шт</v>
      </c>
      <c r="E181" s="181">
        <f>'инновации+добровольчество'!D289</f>
        <v>1.34</v>
      </c>
    </row>
    <row r="182" spans="1:5" x14ac:dyDescent="0.25">
      <c r="A182" s="514"/>
      <c r="B182" s="513"/>
      <c r="C182" s="120" t="str">
        <f>'инновации+добровольчество'!A290</f>
        <v>Болт М10*1*25 кардана УАЗ в/сб(уп. 20 шт)</v>
      </c>
      <c r="D182" s="69" t="str">
        <f>'инновации+добровольчество'!B290</f>
        <v>шт</v>
      </c>
      <c r="E182" s="181">
        <f>'инновации+добровольчество'!D290</f>
        <v>5.36</v>
      </c>
    </row>
    <row r="183" spans="1:5" ht="22.5" x14ac:dyDescent="0.25">
      <c r="A183" s="514"/>
      <c r="B183" s="513"/>
      <c r="C183" s="120" t="str">
        <f>'инновации+добровольчество'!A291</f>
        <v>Винт М8*1,25*12 потай шлиц.торм.барабана Волга Г-2410 290605 (290605-п29)</v>
      </c>
      <c r="D183" s="69" t="str">
        <f>'инновации+добровольчество'!B291</f>
        <v>шт</v>
      </c>
      <c r="E183" s="181">
        <f>'инновации+добровольчество'!D291</f>
        <v>8.0400000000000009</v>
      </c>
    </row>
    <row r="184" spans="1:5" ht="15" customHeight="1" x14ac:dyDescent="0.25">
      <c r="A184" s="514"/>
      <c r="B184" s="513"/>
      <c r="C184" s="120" t="str">
        <f>'инновации+добровольчество'!A292</f>
        <v>Вкладыш шкворня УАЗ-3160(латунь н/о 2 усика)3160 2304023-10 (3160 2304023-10)</v>
      </c>
      <c r="D184" s="69" t="str">
        <f>'инновации+добровольчество'!B292</f>
        <v>шт</v>
      </c>
      <c r="E184" s="181">
        <f>'инновации+добровольчество'!D292</f>
        <v>2.68</v>
      </c>
    </row>
    <row r="185" spans="1:5" ht="22.5" x14ac:dyDescent="0.25">
      <c r="A185" s="514"/>
      <c r="B185" s="513"/>
      <c r="C185" s="120" t="str">
        <f>'инновации+добровольчество'!A293</f>
        <v>Втулка амортизатора Волга ,УАЗ полиуретан 451-2905432 (451-2905432)</v>
      </c>
      <c r="D185" s="69" t="str">
        <f>'инновации+добровольчество'!B293</f>
        <v>шт</v>
      </c>
      <c r="E185" s="181">
        <f>'инновации+добровольчество'!D293</f>
        <v>6.7</v>
      </c>
    </row>
    <row r="186" spans="1:5" ht="15" customHeight="1" x14ac:dyDescent="0.25">
      <c r="A186" s="514"/>
      <c r="B186" s="513"/>
      <c r="C186" s="120" t="str">
        <f>'инновации+добровольчество'!A294</f>
        <v>Гайка колесная  М14*1,5 (18, ключ 22) Волга, Соболь, УАЗ</v>
      </c>
      <c r="D186" s="69" t="str">
        <f>'инновации+добровольчество'!B294</f>
        <v>шт</v>
      </c>
      <c r="E186" s="181">
        <f>'инновации+добровольчество'!D294</f>
        <v>6.7</v>
      </c>
    </row>
    <row r="187" spans="1:5" ht="15" customHeight="1" x14ac:dyDescent="0.25">
      <c r="A187" s="514"/>
      <c r="B187" s="513"/>
      <c r="C187" s="120" t="str">
        <f>'инновации+добровольчество'!A295</f>
        <v>Катушка зажигания 405 дв.(АТЭ-1)3032.3705 (3032.3705)</v>
      </c>
      <c r="D187" s="69" t="str">
        <f>'инновации+добровольчество'!B295</f>
        <v>шт</v>
      </c>
      <c r="E187" s="181">
        <f>'инновации+добровольчество'!D295</f>
        <v>1.34</v>
      </c>
    </row>
    <row r="188" spans="1:5" ht="15" customHeight="1" x14ac:dyDescent="0.25">
      <c r="A188" s="514"/>
      <c r="B188" s="513"/>
      <c r="C188" s="120" t="str">
        <f>'инновации+добровольчество'!A296</f>
        <v>Колодка переднего тормоза (к-т 4 шт.)УАЗ Оригинал(ТИИР) 3163 3501088 (3163 3501088)</v>
      </c>
      <c r="D188" s="69" t="str">
        <f>'инновации+добровольчество'!B296</f>
        <v>шт</v>
      </c>
      <c r="E188" s="181">
        <f>'инновации+добровольчество'!D296</f>
        <v>1.34</v>
      </c>
    </row>
    <row r="189" spans="1:5" ht="15" customHeight="1" x14ac:dyDescent="0.25">
      <c r="A189" s="514"/>
      <c r="B189" s="513"/>
      <c r="C189" s="120" t="str">
        <f>'инновации+добровольчество'!A297</f>
        <v>Кольцо крестовины карданного вала</v>
      </c>
      <c r="D189" s="69" t="str">
        <f>'инновации+добровольчество'!B297</f>
        <v>шт</v>
      </c>
      <c r="E189" s="181">
        <f>'инновации+добровольчество'!D297</f>
        <v>2.68</v>
      </c>
    </row>
    <row r="190" spans="1:5" ht="15" customHeight="1" x14ac:dyDescent="0.25">
      <c r="A190" s="514"/>
      <c r="B190" s="513"/>
      <c r="C190" s="120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D190" s="69" t="str">
        <f>'инновации+добровольчество'!B298</f>
        <v>шт</v>
      </c>
      <c r="E190" s="181">
        <f>'инновации+добровольчество'!D298</f>
        <v>0.33500000000000002</v>
      </c>
    </row>
    <row r="191" spans="1:5" ht="15" customHeight="1" x14ac:dyDescent="0.25">
      <c r="A191" s="514"/>
      <c r="B191" s="513"/>
      <c r="C191" s="120" t="str">
        <f>'инновации+добровольчество'!A299</f>
        <v>Комплект прокладок на дв.4091 Саморим УАЗ 452</v>
      </c>
      <c r="D191" s="69" t="str">
        <f>'инновации+добровольчество'!B299</f>
        <v>шт</v>
      </c>
      <c r="E191" s="181">
        <f>'инновации+добровольчество'!D299</f>
        <v>0.33500000000000002</v>
      </c>
    </row>
    <row r="192" spans="1:5" ht="22.5" x14ac:dyDescent="0.25">
      <c r="A192" s="514"/>
      <c r="B192" s="513"/>
      <c r="C192" s="120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D192" s="69" t="str">
        <f>'инновации+добровольчество'!B300</f>
        <v>шт</v>
      </c>
      <c r="E192" s="181">
        <f>'инновации+добровольчество'!D300</f>
        <v>1.34</v>
      </c>
    </row>
    <row r="193" spans="1:5" ht="15" customHeight="1" x14ac:dyDescent="0.25">
      <c r="A193" s="514"/>
      <c r="B193" s="513"/>
      <c r="C193" s="120" t="str">
        <f>'инновации+добровольчество'!A301</f>
        <v>Накладка педали сцепления УАЗ 2206</v>
      </c>
      <c r="D193" s="69" t="str">
        <f>'инновации+добровольчество'!B301</f>
        <v>шт</v>
      </c>
      <c r="E193" s="181">
        <f>'инновации+добровольчество'!D301</f>
        <v>0.33500000000000002</v>
      </c>
    </row>
    <row r="194" spans="1:5" ht="15" customHeight="1" x14ac:dyDescent="0.25">
      <c r="A194" s="514"/>
      <c r="B194" s="513"/>
      <c r="C194" s="120" t="str">
        <f>'инновации+добровольчество'!A302</f>
        <v>Наконечник рулевой тяги левый "АДС-Expert" 469-3414057-01 (469-3414057-01)</v>
      </c>
      <c r="D194" s="69" t="str">
        <f>'инновации+добровольчество'!B302</f>
        <v>шт</v>
      </c>
      <c r="E194" s="181">
        <f>'инновации+добровольчество'!D302</f>
        <v>0.67</v>
      </c>
    </row>
    <row r="195" spans="1:5" ht="15" customHeight="1" x14ac:dyDescent="0.25">
      <c r="A195" s="514"/>
      <c r="B195" s="513"/>
      <c r="C195" s="120" t="str">
        <f>'инновации+добровольчество'!A303</f>
        <v>Наконечник рулевой тяги правый "АДС-Expert" 469-3414056-01 (469-3414056-01)</v>
      </c>
      <c r="D195" s="69" t="str">
        <f>'инновации+добровольчество'!B303</f>
        <v>шт</v>
      </c>
      <c r="E195" s="181">
        <f>'инновации+добровольчество'!D303</f>
        <v>2.0100000000000002</v>
      </c>
    </row>
    <row r="196" spans="1:5" ht="22.5" x14ac:dyDescent="0.25">
      <c r="A196" s="514"/>
      <c r="B196" s="513"/>
      <c r="C196" s="120" t="str">
        <f>'инновации+добровольчество'!A304</f>
        <v>Патрубки радиатора УАЗ Патриот 409дв.без кондиционера(силикон)(к-т 3шт)</v>
      </c>
      <c r="D196" s="69" t="str">
        <f>'инновации+добровольчество'!B304</f>
        <v>шт</v>
      </c>
      <c r="E196" s="181">
        <f>'инновации+добровольчество'!D304</f>
        <v>0.33500000000000002</v>
      </c>
    </row>
    <row r="197" spans="1:5" ht="15" customHeight="1" x14ac:dyDescent="0.25">
      <c r="A197" s="514"/>
      <c r="B197" s="513"/>
      <c r="C197" s="120" t="str">
        <f>'инновации+добровольчество'!A305</f>
        <v>Подшипник ступичный 127509</v>
      </c>
      <c r="D197" s="69" t="str">
        <f>'инновации+добровольчество'!B305</f>
        <v>шт</v>
      </c>
      <c r="E197" s="181">
        <f>'инновации+добровольчество'!D305</f>
        <v>2.68</v>
      </c>
    </row>
    <row r="198" spans="1:5" ht="15" customHeight="1" x14ac:dyDescent="0.25">
      <c r="A198" s="514"/>
      <c r="B198" s="513"/>
      <c r="C198" s="120" t="str">
        <f>'инновации+добровольчество'!A306</f>
        <v>Провода в/в 4091 дв.с наконеч.силикон.4091-3707244 (4091-3707244)</v>
      </c>
      <c r="D198" s="69" t="str">
        <f>'инновации+добровольчество'!B306</f>
        <v>шт</v>
      </c>
      <c r="E198" s="181">
        <f>'инновации+добровольчество'!D306</f>
        <v>0.67</v>
      </c>
    </row>
    <row r="199" spans="1:5" ht="15" customHeight="1" x14ac:dyDescent="0.25">
      <c r="A199" s="514"/>
      <c r="B199" s="513"/>
      <c r="C199" s="120" t="str">
        <f>'инновации+добровольчество'!A307</f>
        <v>Прокладка крышки полуоси(паронит)3151-2407048 (3151-2407048)</v>
      </c>
      <c r="D199" s="69" t="str">
        <f>'инновации+добровольчество'!B307</f>
        <v>шт</v>
      </c>
      <c r="E199" s="181">
        <f>'инновации+добровольчество'!D307</f>
        <v>3.35</v>
      </c>
    </row>
    <row r="200" spans="1:5" ht="22.5" x14ac:dyDescent="0.25">
      <c r="A200" s="514"/>
      <c r="B200" s="513"/>
      <c r="C200" s="120" t="str">
        <f>'инновации+добровольчество'!A308</f>
        <v>Ремень (1275  мм 6РК) ЗМЗ-40524, 40525 ЕВРО -3 без ГУР "LUZAR" (40624 1308020-01)</v>
      </c>
      <c r="D200" s="69" t="str">
        <f>'инновации+добровольчество'!B308</f>
        <v>шт</v>
      </c>
      <c r="E200" s="181">
        <f>'инновации+добровольчество'!D308</f>
        <v>1.0050000000000001</v>
      </c>
    </row>
    <row r="201" spans="1:5" ht="15" customHeight="1" x14ac:dyDescent="0.25">
      <c r="A201" s="514"/>
      <c r="B201" s="513"/>
      <c r="C201" s="120" t="str">
        <f>'инновации+добровольчество'!A309</f>
        <v>Ремень 1195 - 6 РК привода ГУР "OLEX POLY V BELT"3163-00-1308020-02 (3163-00-1308020-02)</v>
      </c>
      <c r="D201" s="69" t="str">
        <f>'инновации+добровольчество'!B309</f>
        <v>шт</v>
      </c>
      <c r="E201" s="181">
        <f>'инновации+добровольчество'!D309</f>
        <v>1.0050000000000001</v>
      </c>
    </row>
    <row r="202" spans="1:5" ht="15" customHeight="1" x14ac:dyDescent="0.25">
      <c r="A202" s="514"/>
      <c r="B202" s="513"/>
      <c r="C202" s="120" t="str">
        <f>'инновации+добровольчество'!A310</f>
        <v>Ремень буксировочный 6/9т 6м (а/м до 3т)  Крюк/Крюк +сумка(олива) Tplus</v>
      </c>
      <c r="D202" s="69" t="str">
        <f>'инновации+добровольчество'!B310</f>
        <v>шт</v>
      </c>
      <c r="E202" s="181">
        <f>'инновации+добровольчество'!D310</f>
        <v>0.33500000000000002</v>
      </c>
    </row>
    <row r="203" spans="1:5" ht="15" customHeight="1" x14ac:dyDescent="0.25">
      <c r="A203" s="514"/>
      <c r="B203" s="513"/>
      <c r="C203" s="120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D203" s="69" t="str">
        <f>'инновации+добровольчество'!B311</f>
        <v>шт</v>
      </c>
      <c r="E203" s="181">
        <f>'инновации+добровольчество'!D311</f>
        <v>1.34</v>
      </c>
    </row>
    <row r="204" spans="1:5" ht="15" customHeight="1" x14ac:dyDescent="0.25">
      <c r="A204" s="514"/>
      <c r="B204" s="513"/>
      <c r="C204" s="120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D204" s="69" t="str">
        <f>'инновации+добровольчество'!B312</f>
        <v>шт</v>
      </c>
      <c r="E204" s="181">
        <f>'инновации+добровольчество'!D312</f>
        <v>0.67</v>
      </c>
    </row>
    <row r="205" spans="1:5" ht="15" customHeight="1" x14ac:dyDescent="0.25">
      <c r="A205" s="514"/>
      <c r="B205" s="513"/>
      <c r="C205" s="120" t="str">
        <f>'инновации+добровольчество'!A313</f>
        <v>Сайлентблок передней подвески УАЗ резинометаллический (малый) 3160-2909027 (3160-2909027)</v>
      </c>
      <c r="D205" s="69" t="str">
        <f>'инновации+добровольчество'!B313</f>
        <v>шт</v>
      </c>
      <c r="E205" s="181">
        <f>'инновации+добровольчество'!D313</f>
        <v>2.0100000000000002</v>
      </c>
    </row>
    <row r="206" spans="1:5" ht="15" customHeight="1" x14ac:dyDescent="0.25">
      <c r="A206" s="514"/>
      <c r="B206" s="513"/>
      <c r="C206" s="120" t="str">
        <f>'инновации+добровольчество'!A314</f>
        <v>Сайлентблок рессоры УАЗ-Патриот 3163(завод)3163-2912020 (3163-2912020)</v>
      </c>
      <c r="D206" s="69" t="str">
        <f>'инновации+добровольчество'!B314</f>
        <v>шт</v>
      </c>
      <c r="E206" s="181">
        <f>'инновации+добровольчество'!D314</f>
        <v>2.68</v>
      </c>
    </row>
    <row r="207" spans="1:5" ht="15" customHeight="1" x14ac:dyDescent="0.25">
      <c r="A207" s="514"/>
      <c r="B207" s="513"/>
      <c r="C207" s="120" t="str">
        <f>'инновации+добровольчество'!A315</f>
        <v>Сальник (55х70х8) коленвала передний 406дв."Кортеко"(Германия)406.1005034-02 (406.1005034-02)</v>
      </c>
      <c r="D207" s="69" t="str">
        <f>'инновации+добровольчество'!B315</f>
        <v>шт</v>
      </c>
      <c r="E207" s="181">
        <f>'инновации+добровольчество'!D315</f>
        <v>0.67</v>
      </c>
    </row>
    <row r="208" spans="1:5" ht="15" customHeight="1" x14ac:dyDescent="0.25">
      <c r="A208" s="514"/>
      <c r="B208" s="513"/>
      <c r="C208" s="120" t="str">
        <f>'инновации+добровольчество'!A316</f>
        <v>Сальник (60х85х10) ступицы  NAK International 3741-3103038 (3741-3103038)</v>
      </c>
      <c r="D208" s="69" t="str">
        <f>'инновации+добровольчество'!B316</f>
        <v>шт</v>
      </c>
      <c r="E208" s="181">
        <f>'инновации+добровольчество'!D316</f>
        <v>8.0400000000000009</v>
      </c>
    </row>
    <row r="209" spans="1:5" ht="15" customHeight="1" x14ac:dyDescent="0.25">
      <c r="A209" s="514"/>
      <c r="B209" s="513"/>
      <c r="C209" s="120" t="str">
        <f>'инновации+добровольчество'!A317</f>
        <v>Сальник к/вала задний 100л.с. 80х100х10(NAK intarnational)</v>
      </c>
      <c r="D209" s="69" t="str">
        <f>'инновации+добровольчество'!B317</f>
        <v>шт</v>
      </c>
      <c r="E209" s="181">
        <f>'инновации+добровольчество'!D317</f>
        <v>0.67</v>
      </c>
    </row>
    <row r="210" spans="1:5" ht="15" customHeight="1" x14ac:dyDescent="0.25">
      <c r="A210" s="514"/>
      <c r="B210" s="513"/>
      <c r="C210" s="120" t="str">
        <f>'инновации+добровольчество'!A318</f>
        <v>Сальник хвостовика 42х68х 10/14,5 усиленный "NAK"3741-00-1701210-03 (3741-00-1701210-03)</v>
      </c>
      <c r="D210" s="69" t="str">
        <f>'инновации+добровольчество'!B318</f>
        <v>шт</v>
      </c>
      <c r="E210" s="181">
        <f>'инновации+добровольчество'!D318</f>
        <v>2.68</v>
      </c>
    </row>
    <row r="211" spans="1:5" ht="15" customHeight="1" x14ac:dyDescent="0.25">
      <c r="A211" s="514"/>
      <c r="B211" s="513"/>
      <c r="C211" s="120" t="str">
        <f>'инновации+добровольчество'!A319</f>
        <v>Сальник шруса (в мет. обойме)(32х50х10)(19000078)3741-2304071 (3741-2304071)</v>
      </c>
      <c r="D211" s="69" t="str">
        <f>'инновации+добровольчество'!B319</f>
        <v>шт</v>
      </c>
      <c r="E211" s="181">
        <f>'инновации+добровольчество'!D319</f>
        <v>1.34</v>
      </c>
    </row>
    <row r="212" spans="1:5" ht="15" customHeight="1" x14ac:dyDescent="0.25">
      <c r="A212" s="514"/>
      <c r="B212" s="513"/>
      <c r="C212" s="120" t="str">
        <f>'инновации+добровольчество'!A320</f>
        <v>Свеча зажигания DENSO  Q16ТТ#4  4607#4 (1 шт.)</v>
      </c>
      <c r="D212" s="69" t="str">
        <f>'инновации+добровольчество'!B320</f>
        <v>шт</v>
      </c>
      <c r="E212" s="181">
        <f>'инновации+добровольчество'!D320</f>
        <v>2.68</v>
      </c>
    </row>
    <row r="213" spans="1:5" ht="15" customHeight="1" x14ac:dyDescent="0.25">
      <c r="A213" s="514"/>
      <c r="B213" s="513"/>
      <c r="C213" s="120" t="str">
        <f>'инновации+добровольчество'!A321</f>
        <v>Скоба омегообр. с резьбой г/п 2,0т тип G 209 ХЛ</v>
      </c>
      <c r="D213" s="69" t="str">
        <f>'инновации+добровольчество'!B321</f>
        <v>шт</v>
      </c>
      <c r="E213" s="181">
        <f>'инновации+добровольчество'!D321</f>
        <v>0.33500000000000002</v>
      </c>
    </row>
    <row r="214" spans="1:5" ht="15" customHeight="1" x14ac:dyDescent="0.25">
      <c r="A214" s="514"/>
      <c r="B214" s="513"/>
      <c r="C214" s="120" t="str">
        <f>'инновации+добровольчество'!A322</f>
        <v>Строп динамический (рывковый) 6т,  9 м, серия "Стандарт" TPlus</v>
      </c>
      <c r="D214" s="69" t="str">
        <f>'инновации+добровольчество'!B322</f>
        <v>шт</v>
      </c>
      <c r="E214" s="181">
        <f>'инновации+добровольчество'!D322</f>
        <v>0.33500000000000002</v>
      </c>
    </row>
    <row r="215" spans="1:5" ht="15" customHeight="1" x14ac:dyDescent="0.25">
      <c r="A215" s="514"/>
      <c r="B215" s="513"/>
      <c r="C215" s="120" t="str">
        <f>'инновации+добровольчество'!A323</f>
        <v>Ступица заднего колеса УАЗ-3163(с имп.диском в сборе АБС)3163-3104006 (3163-3104006)</v>
      </c>
      <c r="D215" s="69" t="str">
        <f>'инновации+добровольчество'!B323</f>
        <v>шт</v>
      </c>
      <c r="E215" s="181">
        <f>'инновации+добровольчество'!D323</f>
        <v>0.33500000000000002</v>
      </c>
    </row>
    <row r="216" spans="1:5" ht="15" customHeight="1" x14ac:dyDescent="0.25">
      <c r="A216" s="514"/>
      <c r="B216" s="513"/>
      <c r="C216" s="120" t="str">
        <f>'инновации+добровольчество'!A324</f>
        <v>Сцепление к-т ЗМЗ-409"LUK"(с выжимным подшипником АДС)3163 06 1601006 (3163 06 1601006)</v>
      </c>
      <c r="D216" s="69" t="str">
        <f>'инновации+добровольчество'!B324</f>
        <v>шт</v>
      </c>
      <c r="E216" s="181">
        <f>'инновации+добровольчество'!D324</f>
        <v>0.33500000000000002</v>
      </c>
    </row>
    <row r="217" spans="1:5" ht="15" customHeight="1" x14ac:dyDescent="0.25">
      <c r="A217" s="514"/>
      <c r="B217" s="513"/>
      <c r="C217" s="120" t="str">
        <f>'инновации+добровольчество'!A325</f>
        <v>Термостат Т-118 t-87 (УМЗ4216) Электон  Т118-1306100-04</v>
      </c>
      <c r="D217" s="69" t="str">
        <f>'инновации+добровольчество'!B325</f>
        <v>шт</v>
      </c>
      <c r="E217" s="181">
        <f>'инновации+добровольчество'!D325</f>
        <v>0.67</v>
      </c>
    </row>
    <row r="218" spans="1:5" ht="15" customHeight="1" x14ac:dyDescent="0.25">
      <c r="A218" s="514"/>
      <c r="B218" s="513"/>
      <c r="C218" s="120" t="str">
        <f>'инновации+добровольчество'!A326</f>
        <v>Тормозная жидкость G-Energy EXPERT DOT4 (0.910кг)</v>
      </c>
      <c r="D218" s="69" t="str">
        <f>'инновации+добровольчество'!B326</f>
        <v>шт</v>
      </c>
      <c r="E218" s="181">
        <f>'инновации+добровольчество'!D326</f>
        <v>0.67</v>
      </c>
    </row>
    <row r="219" spans="1:5" ht="15" customHeight="1" x14ac:dyDescent="0.25">
      <c r="A219" s="514"/>
      <c r="B219" s="513"/>
      <c r="C219" s="120" t="str">
        <f>'инновации+добровольчество'!A327</f>
        <v>Уплотнитель свечного колодца 406 дв.(ЕВРО-2)(Силикон синий) 406.1007248-10 (406.1007248-10)</v>
      </c>
      <c r="D219" s="69" t="str">
        <f>'инновации+добровольчество'!B327</f>
        <v>шт</v>
      </c>
      <c r="E219" s="181">
        <f>'инновации+добровольчество'!D327</f>
        <v>0.33500000000000002</v>
      </c>
    </row>
    <row r="220" spans="1:5" ht="15" customHeight="1" x14ac:dyDescent="0.25">
      <c r="A220" s="514"/>
      <c r="B220" s="513"/>
      <c r="C220" s="120" t="str">
        <f>'инновации+добровольчество'!A328</f>
        <v>Утеплитель лобовой наружный с дверями УАЗ-452(ватин/венил/кожа)</v>
      </c>
      <c r="D220" s="69" t="str">
        <f>'инновации+добровольчество'!B328</f>
        <v>шт</v>
      </c>
      <c r="E220" s="181">
        <f>'инновации+добровольчество'!D328</f>
        <v>0.33500000000000002</v>
      </c>
    </row>
    <row r="221" spans="1:5" ht="15" customHeight="1" x14ac:dyDescent="0.25">
      <c r="A221" s="514"/>
      <c r="B221" s="513"/>
      <c r="C221" s="120" t="str">
        <f>'инновации+добровольчество'!A329</f>
        <v>Фильтр масляный MANN-FILTER W 914/2(W 812)(W 813)(W 914/2 n)(W 914/5)"10"</v>
      </c>
      <c r="D221" s="69" t="str">
        <f>'инновации+добровольчество'!B329</f>
        <v>шт</v>
      </c>
      <c r="E221" s="181">
        <f>'инновации+добровольчество'!D329</f>
        <v>1.34</v>
      </c>
    </row>
    <row r="222" spans="1:5" ht="15" customHeight="1" x14ac:dyDescent="0.25">
      <c r="A222" s="514"/>
      <c r="B222" s="513"/>
      <c r="C222" s="120" t="str">
        <f>'инновации+добровольчество'!A330</f>
        <v>Фильтр топливный УАЗ ( инжектор штуцера с резьбой)УАЗ Оригиннал 3151-96-1117010 (3151-96-1117010)</v>
      </c>
      <c r="D222" s="69" t="str">
        <f>'инновации+добровольчество'!B330</f>
        <v>шт</v>
      </c>
      <c r="E222" s="181">
        <f>'инновации+добровольчество'!D330</f>
        <v>1.34</v>
      </c>
    </row>
    <row r="223" spans="1:5" ht="15" customHeight="1" x14ac:dyDescent="0.25">
      <c r="A223" s="514"/>
      <c r="B223" s="513"/>
      <c r="C223" s="120" t="str">
        <f>'инновации+добровольчество'!A331</f>
        <v>Цилиндр тормозной задний УАЗ 3160,3162 Патриот(d=28мм)KNU 3160 3502040 (3160 3502040)</v>
      </c>
      <c r="D223" s="69" t="str">
        <f>'инновации+добровольчество'!B331</f>
        <v>шт</v>
      </c>
      <c r="E223" s="181">
        <f>'инновации+добровольчество'!D331</f>
        <v>1.34</v>
      </c>
    </row>
    <row r="224" spans="1:5" ht="15" customHeight="1" x14ac:dyDescent="0.25">
      <c r="A224" s="514"/>
      <c r="B224" s="513"/>
      <c r="C224" s="120" t="str">
        <f>'инновации+добровольчество'!A332</f>
        <v>Шакл (скоба омегообр. с резьбой г/п 3,25т)тип G209 ХЛ</v>
      </c>
      <c r="D224" s="69" t="str">
        <f>'инновации+добровольчество'!B332</f>
        <v>шт</v>
      </c>
      <c r="E224" s="181">
        <f>'инновации+добровольчество'!D332</f>
        <v>0.33500000000000002</v>
      </c>
    </row>
    <row r="225" spans="1:5" ht="15" customHeight="1" x14ac:dyDescent="0.25">
      <c r="A225" s="514"/>
      <c r="B225" s="513"/>
      <c r="C225" s="120" t="str">
        <f>'инновации+добровольчество'!A333</f>
        <v>Шкив помпы 406 дв текстолит 406.1308025-10 ( 406.1308025-10)</v>
      </c>
      <c r="D225" s="69" t="str">
        <f>'инновации+добровольчество'!B333</f>
        <v>шт</v>
      </c>
      <c r="E225" s="181">
        <f>'инновации+добровольчество'!D333</f>
        <v>1.0050000000000001</v>
      </c>
    </row>
    <row r="226" spans="1:5" ht="15" customHeight="1" x14ac:dyDescent="0.25">
      <c r="A226" s="514"/>
      <c r="B226" s="513"/>
      <c r="C226" s="120" t="str">
        <f>'инновации+добровольчество'!A334</f>
        <v>Шланг тормозной задний УАЗ-452 инжектор.ЕВРО-4 3962-3506061 (3962-3506061)</v>
      </c>
      <c r="D226" s="69" t="str">
        <f>'инновации+добровольчество'!B334</f>
        <v>шт</v>
      </c>
      <c r="E226" s="181">
        <f>'инновации+добровольчество'!D334</f>
        <v>1.34</v>
      </c>
    </row>
    <row r="227" spans="1:5" ht="15" customHeight="1" x14ac:dyDescent="0.25">
      <c r="A227" s="514"/>
      <c r="B227" s="513"/>
      <c r="C227" s="120" t="str">
        <f>'инновации+добровольчество'!A335</f>
        <v>Шланг тормозной передний УАЗ-452 инжектор Евро-4 3962-3506060 (3962-3506060)</v>
      </c>
      <c r="D227" s="69" t="str">
        <f>'инновации+добровольчество'!B335</f>
        <v>шт</v>
      </c>
      <c r="E227" s="181">
        <f>'инновации+добровольчество'!D335</f>
        <v>1.34</v>
      </c>
    </row>
    <row r="228" spans="1:5" ht="15" customHeight="1" x14ac:dyDescent="0.25">
      <c r="A228" s="514"/>
      <c r="B228" s="513"/>
      <c r="C228" s="120" t="str">
        <f>'инновации+добровольчество'!A336</f>
        <v>Шпилька колеса М 14х1,5х45  ГАЗ 2410,УАЗ 20-3103008-Б (20-3103008-Б)</v>
      </c>
      <c r="D228" s="69" t="str">
        <f>'инновации+добровольчество'!B336</f>
        <v>шт</v>
      </c>
      <c r="E228" s="181">
        <f>'инновации+добровольчество'!D336</f>
        <v>6.7</v>
      </c>
    </row>
    <row r="229" spans="1:5" ht="15" customHeight="1" x14ac:dyDescent="0.25">
      <c r="A229" s="514"/>
      <c r="B229" s="513"/>
      <c r="C229" s="120" t="str">
        <f>'инновации+добровольчество'!A337</f>
        <v>Элемент воздушного фильтра УАЗ 452 инжектор 4213,409 (низкий)Цитрон 9.1.97 1109080 (9.1.97 1109080)</v>
      </c>
      <c r="D229" s="69" t="str">
        <f>'инновации+добровольчество'!B337</f>
        <v>шт</v>
      </c>
      <c r="E229" s="181">
        <f>'инновации+добровольчество'!D337</f>
        <v>0.67</v>
      </c>
    </row>
    <row r="230" spans="1:5" ht="15" customHeight="1" x14ac:dyDescent="0.25">
      <c r="A230" s="514"/>
      <c r="B230" s="513"/>
      <c r="C230" s="120" t="str">
        <f>'инновации+добровольчество'!A338</f>
        <v>Кран шаровый</v>
      </c>
      <c r="D230" s="69" t="str">
        <f>'инновации+добровольчество'!B338</f>
        <v>шт</v>
      </c>
      <c r="E230" s="181">
        <f>'инновации+добровольчество'!D338</f>
        <v>0.33500000000000002</v>
      </c>
    </row>
    <row r="231" spans="1:5" ht="15" customHeight="1" x14ac:dyDescent="0.25">
      <c r="A231" s="514"/>
      <c r="B231" s="513"/>
      <c r="C231" s="120" t="str">
        <f>'инновации+добровольчество'!A339</f>
        <v>Вода дист</v>
      </c>
      <c r="D231" s="69" t="str">
        <f>'инновации+добровольчество'!B339</f>
        <v>шт</v>
      </c>
      <c r="E231" s="181">
        <f>'инновации+добровольчество'!D339</f>
        <v>0.33500000000000002</v>
      </c>
    </row>
    <row r="232" spans="1:5" ht="15" customHeight="1" x14ac:dyDescent="0.25">
      <c r="A232" s="514"/>
      <c r="B232" s="513"/>
      <c r="C232" s="120" t="str">
        <f>'инновации+добровольчество'!A340</f>
        <v>Кислота серная</v>
      </c>
      <c r="D232" s="69" t="str">
        <f>'инновации+добровольчество'!B340</f>
        <v>шт</v>
      </c>
      <c r="E232" s="181">
        <f>'инновации+добровольчество'!D340</f>
        <v>1.34</v>
      </c>
    </row>
    <row r="233" spans="1:5" x14ac:dyDescent="0.25">
      <c r="A233" s="514"/>
      <c r="B233" s="513"/>
      <c r="C233" s="120" t="str">
        <f>'инновации+добровольчество'!A341</f>
        <v>Пакеты майка</v>
      </c>
      <c r="D233" s="69" t="str">
        <f>'инновации+добровольчество'!B341</f>
        <v>шт</v>
      </c>
      <c r="E233" s="181">
        <f>'инновации+добровольчество'!D341</f>
        <v>0.33500000000000002</v>
      </c>
    </row>
    <row r="234" spans="1:5" x14ac:dyDescent="0.25">
      <c r="A234" s="514"/>
      <c r="B234" s="513"/>
      <c r="C234" s="120" t="str">
        <f>'инновации+добровольчество'!A342</f>
        <v>Уголок мебельный</v>
      </c>
      <c r="D234" s="69" t="str">
        <f>'инновации+добровольчество'!B342</f>
        <v>шт</v>
      </c>
      <c r="E234" s="181">
        <f>'инновации+добровольчество'!D342</f>
        <v>3.35</v>
      </c>
    </row>
    <row r="235" spans="1:5" x14ac:dyDescent="0.25">
      <c r="A235" s="514"/>
      <c r="B235" s="513"/>
      <c r="C235" s="120" t="str">
        <f>'инновации+добровольчество'!A343</f>
        <v>Саморез по гипсокартону</v>
      </c>
      <c r="D235" s="69" t="str">
        <f>'инновации+добровольчество'!B343</f>
        <v>шт</v>
      </c>
      <c r="E235" s="181">
        <f>'инновации+добровольчество'!D343</f>
        <v>67</v>
      </c>
    </row>
    <row r="236" spans="1:5" x14ac:dyDescent="0.25">
      <c r="A236" s="514"/>
      <c r="B236" s="513"/>
      <c r="C236" s="120" t="str">
        <f>'инновации+добровольчество'!A344</f>
        <v>Доместос</v>
      </c>
      <c r="D236" s="69" t="str">
        <f>'инновации+добровольчество'!B344</f>
        <v>шт</v>
      </c>
      <c r="E236" s="181">
        <f>'инновации+добровольчество'!D344</f>
        <v>1.675</v>
      </c>
    </row>
    <row r="237" spans="1:5" x14ac:dyDescent="0.25">
      <c r="A237" s="514"/>
      <c r="B237" s="513"/>
      <c r="C237" s="120" t="str">
        <f>'инновации+добровольчество'!A345</f>
        <v>Белизна</v>
      </c>
      <c r="D237" s="69" t="str">
        <f>'инновации+добровольчество'!B345</f>
        <v>шт</v>
      </c>
      <c r="E237" s="181">
        <f>'инновации+добровольчество'!D345</f>
        <v>1.675</v>
      </c>
    </row>
    <row r="238" spans="1:5" x14ac:dyDescent="0.25">
      <c r="A238" s="514"/>
      <c r="B238" s="513"/>
      <c r="C238" s="120" t="str">
        <f>'инновации+добровольчество'!A346</f>
        <v xml:space="preserve">Пемолюкс </v>
      </c>
      <c r="D238" s="69" t="str">
        <f>'инновации+добровольчество'!B346</f>
        <v>шт</v>
      </c>
      <c r="E238" s="181">
        <f>'инновации+добровольчество'!D346</f>
        <v>5.0250000000000004</v>
      </c>
    </row>
    <row r="239" spans="1:5" x14ac:dyDescent="0.25">
      <c r="A239" s="514"/>
      <c r="B239" s="513"/>
      <c r="C239" s="120" t="str">
        <f>'инновации+добровольчество'!A347</f>
        <v>Мыло</v>
      </c>
      <c r="D239" s="69" t="str">
        <f>'инновации+добровольчество'!B347</f>
        <v>шт</v>
      </c>
      <c r="E239" s="181">
        <f>'инновации+добровольчество'!D347</f>
        <v>0.33500000000000002</v>
      </c>
    </row>
    <row r="240" spans="1:5" x14ac:dyDescent="0.25">
      <c r="A240" s="514"/>
      <c r="B240" s="513"/>
      <c r="C240" s="120" t="str">
        <f>'инновации+добровольчество'!A348</f>
        <v>Стеклоочиститель с распылителем</v>
      </c>
      <c r="D240" s="69" t="str">
        <f>'инновации+добровольчество'!B348</f>
        <v>шт</v>
      </c>
      <c r="E240" s="181">
        <f>'инновации+добровольчество'!D348</f>
        <v>0.33500000000000002</v>
      </c>
    </row>
    <row r="241" spans="1:5" x14ac:dyDescent="0.25">
      <c r="A241" s="514"/>
      <c r="B241" s="513"/>
      <c r="C241" s="120" t="str">
        <f>'инновации+добровольчество'!A349</f>
        <v>Стеклоочиститель (сменный блок)</v>
      </c>
      <c r="D241" s="69" t="str">
        <f>'инновации+добровольчество'!B349</f>
        <v>шт</v>
      </c>
      <c r="E241" s="181">
        <f>'инновации+добровольчество'!D349</f>
        <v>0.33500000000000002</v>
      </c>
    </row>
    <row r="242" spans="1:5" x14ac:dyDescent="0.25">
      <c r="A242" s="514"/>
      <c r="B242" s="513"/>
      <c r="C242" s="120" t="str">
        <f>'инновации+добровольчество'!A350</f>
        <v>Губки</v>
      </c>
      <c r="D242" s="69" t="str">
        <f>'инновации+добровольчество'!B350</f>
        <v>шт</v>
      </c>
      <c r="E242" s="181">
        <f>'инновации+добровольчество'!D350</f>
        <v>0.67</v>
      </c>
    </row>
    <row r="243" spans="1:5" x14ac:dyDescent="0.25">
      <c r="A243" s="514"/>
      <c r="B243" s="513"/>
      <c r="C243" s="120" t="str">
        <f>'инновации+добровольчество'!A351</f>
        <v>Моющее средство МИФ</v>
      </c>
      <c r="D243" s="69" t="str">
        <f>'инновации+добровольчество'!B351</f>
        <v>шт</v>
      </c>
      <c r="E243" s="181">
        <f>'инновации+добровольчество'!D351</f>
        <v>1.675</v>
      </c>
    </row>
    <row r="244" spans="1:5" x14ac:dyDescent="0.25">
      <c r="A244" s="514"/>
      <c r="B244" s="513"/>
      <c r="C244" s="120" t="str">
        <f>'инновации+добровольчество'!A352</f>
        <v>Тряпка вискозная</v>
      </c>
      <c r="D244" s="69" t="str">
        <f>'инновации+добровольчество'!B352</f>
        <v>шт</v>
      </c>
      <c r="E244" s="181">
        <f>'инновации+добровольчество'!D352</f>
        <v>1.675</v>
      </c>
    </row>
    <row r="245" spans="1:5" x14ac:dyDescent="0.25">
      <c r="A245" s="514"/>
      <c r="B245" s="513"/>
      <c r="C245" s="120" t="str">
        <f>'инновации+добровольчество'!A353</f>
        <v>Тряпки</v>
      </c>
      <c r="D245" s="69" t="str">
        <f>'инновации+добровольчество'!B353</f>
        <v>шт</v>
      </c>
      <c r="E245" s="181">
        <f>'инновации+добровольчество'!D353</f>
        <v>1.675</v>
      </c>
    </row>
    <row r="246" spans="1:5" x14ac:dyDescent="0.25">
      <c r="A246" s="514"/>
      <c r="B246" s="513"/>
      <c r="C246" s="120" t="str">
        <f>'инновации+добровольчество'!A354</f>
        <v>Полотенца бумажные</v>
      </c>
      <c r="D246" s="69" t="str">
        <f>'инновации+добровольчество'!B354</f>
        <v>шт</v>
      </c>
      <c r="E246" s="181">
        <f>'инновации+добровольчество'!D354</f>
        <v>1.675</v>
      </c>
    </row>
    <row r="247" spans="1:5" x14ac:dyDescent="0.25">
      <c r="A247" s="514"/>
      <c r="B247" s="513"/>
      <c r="C247" s="120" t="str">
        <f>'инновации+добровольчество'!A355</f>
        <v>Железная губка</v>
      </c>
      <c r="D247" s="69" t="str">
        <f>'инновации+добровольчество'!B355</f>
        <v>шт</v>
      </c>
      <c r="E247" s="181">
        <f>'инновации+добровольчество'!D355</f>
        <v>0.67</v>
      </c>
    </row>
    <row r="248" spans="1:5" x14ac:dyDescent="0.25">
      <c r="A248" s="514"/>
      <c r="B248" s="513"/>
      <c r="C248" s="120" t="str">
        <f>'инновации+добровольчество'!A356</f>
        <v>Перчатки</v>
      </c>
      <c r="D248" s="69" t="str">
        <f>'инновации+добровольчество'!B356</f>
        <v>шт</v>
      </c>
      <c r="E248" s="181">
        <f>'инновации+добровольчество'!D356</f>
        <v>1.675</v>
      </c>
    </row>
    <row r="249" spans="1:5" x14ac:dyDescent="0.25">
      <c r="A249" s="514"/>
      <c r="B249" s="513"/>
      <c r="C249" s="120" t="str">
        <f>'инновации+добровольчество'!A357</f>
        <v>Блок гигиенический для унитаза</v>
      </c>
      <c r="D249" s="69" t="str">
        <f>'инновации+добровольчество'!B357</f>
        <v>шт</v>
      </c>
      <c r="E249" s="181">
        <f>'инновации+добровольчество'!D357</f>
        <v>0.67</v>
      </c>
    </row>
    <row r="250" spans="1:5" x14ac:dyDescent="0.25">
      <c r="A250" s="514"/>
      <c r="B250" s="513"/>
      <c r="C250" s="120" t="str">
        <f>'инновации+добровольчество'!A358</f>
        <v>Мыло</v>
      </c>
      <c r="D250" s="69" t="str">
        <f>'инновации+добровольчество'!B358</f>
        <v>шт</v>
      </c>
      <c r="E250" s="181">
        <f>'инновации+добровольчество'!D358</f>
        <v>1.675</v>
      </c>
    </row>
    <row r="251" spans="1:5" x14ac:dyDescent="0.25">
      <c r="A251" s="514"/>
      <c r="B251" s="513"/>
      <c r="C251" s="120" t="str">
        <f>'инновации+добровольчество'!A359</f>
        <v>Мешки для мусора 60 л</v>
      </c>
      <c r="D251" s="69" t="str">
        <f>'инновации+добровольчество'!B359</f>
        <v>шт</v>
      </c>
      <c r="E251" s="181">
        <f>'инновации+добровольчество'!D359</f>
        <v>3.35</v>
      </c>
    </row>
    <row r="252" spans="1:5" x14ac:dyDescent="0.25">
      <c r="A252" s="514"/>
      <c r="B252" s="513"/>
      <c r="C252" s="120" t="str">
        <f>'инновации+добровольчество'!A360</f>
        <v>Мешки для мусора 120 л</v>
      </c>
      <c r="D252" s="69" t="str">
        <f>'инновации+добровольчество'!B360</f>
        <v>шт</v>
      </c>
      <c r="E252" s="181">
        <f>'инновации+добровольчество'!D360</f>
        <v>1.675</v>
      </c>
    </row>
    <row r="253" spans="1:5" x14ac:dyDescent="0.25">
      <c r="A253" s="514"/>
      <c r="B253" s="513"/>
      <c r="C253" s="120" t="str">
        <f>'инновации+добровольчество'!A361</f>
        <v>Мешки для мусора 35 л</v>
      </c>
      <c r="D253" s="69" t="str">
        <f>'инновации+добровольчество'!B361</f>
        <v>шт</v>
      </c>
      <c r="E253" s="181">
        <f>'инновации+добровольчество'!D361</f>
        <v>3.35</v>
      </c>
    </row>
    <row r="254" spans="1:5" x14ac:dyDescent="0.25">
      <c r="A254" s="514"/>
      <c r="B254" s="513"/>
      <c r="C254" s="120" t="str">
        <f>'инновации+добровольчество'!A362</f>
        <v>Туалетная бумага</v>
      </c>
      <c r="D254" s="69" t="str">
        <f>'инновации+добровольчество'!B362</f>
        <v>шт</v>
      </c>
      <c r="E254" s="181">
        <f>'инновации+добровольчество'!D362</f>
        <v>16.080000000000002</v>
      </c>
    </row>
    <row r="255" spans="1:5" x14ac:dyDescent="0.25">
      <c r="A255" s="514"/>
      <c r="B255" s="513"/>
      <c r="C255" s="120" t="str">
        <f>'инновации+добровольчество'!A363</f>
        <v>Салфетка</v>
      </c>
      <c r="D255" s="69" t="str">
        <f>'инновации+добровольчество'!B363</f>
        <v>шт</v>
      </c>
      <c r="E255" s="181">
        <f>'инновации+добровольчество'!D363</f>
        <v>1.675</v>
      </c>
    </row>
    <row r="256" spans="1:5" x14ac:dyDescent="0.25">
      <c r="A256" s="514"/>
      <c r="B256" s="513"/>
      <c r="C256" s="120" t="str">
        <f>'инновации+добровольчество'!A364</f>
        <v>Пакет</v>
      </c>
      <c r="D256" s="69" t="str">
        <f>'инновации+добровольчество'!B364</f>
        <v>шт</v>
      </c>
      <c r="E256" s="181">
        <f>'инновации+добровольчество'!D364</f>
        <v>1.0050000000000001</v>
      </c>
    </row>
    <row r="257" spans="1:5" x14ac:dyDescent="0.25">
      <c r="A257" s="514"/>
      <c r="B257" s="513"/>
      <c r="C257" s="120" t="str">
        <f>'инновации+добровольчество'!A365</f>
        <v>Жидкое мыло</v>
      </c>
      <c r="D257" s="69" t="str">
        <f>'инновации+добровольчество'!B365</f>
        <v>шт</v>
      </c>
      <c r="E257" s="181">
        <f>'инновации+добровольчество'!D365</f>
        <v>1.675</v>
      </c>
    </row>
    <row r="258" spans="1:5" x14ac:dyDescent="0.25">
      <c r="A258" s="514"/>
      <c r="B258" s="513"/>
      <c r="C258" s="120" t="str">
        <f>'инновации+добровольчество'!A366</f>
        <v>Стеклоочиститель</v>
      </c>
      <c r="D258" s="69" t="str">
        <f>'инновации+добровольчество'!B366</f>
        <v>шт</v>
      </c>
      <c r="E258" s="181">
        <f>'инновации+добровольчество'!D366</f>
        <v>1.0050000000000001</v>
      </c>
    </row>
    <row r="259" spans="1:5" x14ac:dyDescent="0.25">
      <c r="A259" s="514"/>
      <c r="B259" s="513"/>
      <c r="C259" s="120" t="str">
        <f>'инновации+добровольчество'!A367</f>
        <v>Блок для записи маленький</v>
      </c>
      <c r="D259" s="69" t="str">
        <f>'инновации+добровольчество'!B367</f>
        <v>шт</v>
      </c>
      <c r="E259" s="181">
        <f>'инновации+добровольчество'!D367</f>
        <v>0.67</v>
      </c>
    </row>
    <row r="260" spans="1:5" x14ac:dyDescent="0.25">
      <c r="A260" s="514"/>
      <c r="B260" s="513"/>
      <c r="C260" s="120" t="str">
        <f>'инновации+добровольчество'!A368</f>
        <v>Блок для записи большой</v>
      </c>
      <c r="D260" s="69" t="str">
        <f>'инновации+добровольчество'!B368</f>
        <v>шт</v>
      </c>
      <c r="E260" s="181">
        <f>'инновации+добровольчество'!D368</f>
        <v>1.0050000000000001</v>
      </c>
    </row>
    <row r="261" spans="1:5" x14ac:dyDescent="0.25">
      <c r="A261" s="514"/>
      <c r="B261" s="513"/>
      <c r="C261" s="120" t="str">
        <f>'инновации+добровольчество'!A369</f>
        <v>Скрепки</v>
      </c>
      <c r="D261" s="69" t="str">
        <f>'инновации+добровольчество'!B369</f>
        <v>шт</v>
      </c>
      <c r="E261" s="181">
        <f>'инновации+добровольчество'!D369</f>
        <v>3.35</v>
      </c>
    </row>
    <row r="262" spans="1:5" x14ac:dyDescent="0.25">
      <c r="A262" s="514"/>
      <c r="B262" s="513"/>
      <c r="C262" s="120" t="str">
        <f>'инновации+добровольчество'!A370</f>
        <v>Кнопки</v>
      </c>
      <c r="D262" s="69" t="str">
        <f>'инновации+добровольчество'!B370</f>
        <v>шт</v>
      </c>
      <c r="E262" s="181">
        <f>'инновации+добровольчество'!D370</f>
        <v>3.35</v>
      </c>
    </row>
    <row r="263" spans="1:5" x14ac:dyDescent="0.25">
      <c r="A263" s="514"/>
      <c r="B263" s="513"/>
      <c r="C263" s="120" t="str">
        <f>'инновации+добровольчество'!A371</f>
        <v>Кнопки</v>
      </c>
      <c r="D263" s="69" t="str">
        <f>'инновации+добровольчество'!B371</f>
        <v>шт</v>
      </c>
      <c r="E263" s="181">
        <f>'инновации+добровольчество'!D371</f>
        <v>1.675</v>
      </c>
    </row>
    <row r="264" spans="1:5" x14ac:dyDescent="0.25">
      <c r="A264" s="514"/>
      <c r="B264" s="513"/>
      <c r="C264" s="120" t="str">
        <f>'инновации+добровольчество'!A372</f>
        <v>Степлер №10</v>
      </c>
      <c r="D264" s="69" t="str">
        <f>'инновации+добровольчество'!B372</f>
        <v>шт</v>
      </c>
      <c r="E264" s="181">
        <f>'инновации+добровольчество'!D372</f>
        <v>0.33500000000000002</v>
      </c>
    </row>
    <row r="265" spans="1:5" x14ac:dyDescent="0.25">
      <c r="A265" s="514"/>
      <c r="B265" s="513"/>
      <c r="C265" s="120" t="str">
        <f>'инновации+добровольчество'!A373</f>
        <v>Степлер №24</v>
      </c>
      <c r="D265" s="69" t="str">
        <f>'инновации+добровольчество'!B373</f>
        <v>шт</v>
      </c>
      <c r="E265" s="181">
        <f>'инновации+добровольчество'!D373</f>
        <v>0.33500000000000002</v>
      </c>
    </row>
    <row r="266" spans="1:5" x14ac:dyDescent="0.25">
      <c r="A266" s="514"/>
      <c r="B266" s="513"/>
      <c r="C266" s="120" t="str">
        <f>'инновации+добровольчество'!A374</f>
        <v>Степлер №21</v>
      </c>
      <c r="D266" s="69" t="str">
        <f>'инновации+добровольчество'!B374</f>
        <v>шт</v>
      </c>
      <c r="E266" s="181">
        <f>'инновации+добровольчество'!D374</f>
        <v>1.0050000000000001</v>
      </c>
    </row>
    <row r="267" spans="1:5" x14ac:dyDescent="0.25">
      <c r="A267" s="514"/>
      <c r="B267" s="513"/>
      <c r="C267" s="120" t="str">
        <f>'инновации+добровольчество'!A375</f>
        <v>Скобы для степлера (большие)</v>
      </c>
      <c r="D267" s="69" t="str">
        <f>'инновации+добровольчество'!B375</f>
        <v>шт</v>
      </c>
      <c r="E267" s="181">
        <f>'инновации+добровольчество'!D375</f>
        <v>6.7</v>
      </c>
    </row>
    <row r="268" spans="1:5" x14ac:dyDescent="0.25">
      <c r="A268" s="514"/>
      <c r="B268" s="513"/>
      <c r="C268" s="120" t="str">
        <f>'инновации+добровольчество'!A376</f>
        <v>Скобы для степлера (маленькие)</v>
      </c>
      <c r="D268" s="69" t="str">
        <f>'инновации+добровольчество'!B376</f>
        <v>шт</v>
      </c>
      <c r="E268" s="181">
        <f>'инновации+добровольчество'!D376</f>
        <v>3.35</v>
      </c>
    </row>
    <row r="269" spans="1:5" x14ac:dyDescent="0.25">
      <c r="A269" s="514"/>
      <c r="B269" s="513"/>
      <c r="C269" s="120" t="str">
        <f>'инновации+добровольчество'!A377</f>
        <v>Ножницы маленькие</v>
      </c>
      <c r="D269" s="69" t="str">
        <f>'инновации+добровольчество'!B377</f>
        <v>шт</v>
      </c>
      <c r="E269" s="181">
        <f>'инновации+добровольчество'!D377</f>
        <v>1.0050000000000001</v>
      </c>
    </row>
    <row r="270" spans="1:5" x14ac:dyDescent="0.25">
      <c r="A270" s="514"/>
      <c r="B270" s="513"/>
      <c r="C270" s="120" t="str">
        <f>'инновации+добровольчество'!A378</f>
        <v xml:space="preserve">Ножницы большие </v>
      </c>
      <c r="D270" s="69" t="str">
        <f>'инновации+добровольчество'!B378</f>
        <v>шт</v>
      </c>
      <c r="E270" s="181">
        <f>'инновации+добровольчество'!D378</f>
        <v>0.33500000000000002</v>
      </c>
    </row>
    <row r="271" spans="1:5" x14ac:dyDescent="0.25">
      <c r="A271" s="514"/>
      <c r="B271" s="513"/>
      <c r="C271" s="120" t="str">
        <f>'инновации+добровольчество'!A379</f>
        <v>Ножницы</v>
      </c>
      <c r="D271" s="69" t="str">
        <f>'инновации+добровольчество'!B379</f>
        <v>шт</v>
      </c>
      <c r="E271" s="181">
        <f>'инновации+добровольчество'!D379</f>
        <v>3.35</v>
      </c>
    </row>
    <row r="272" spans="1:5" x14ac:dyDescent="0.25">
      <c r="A272" s="514"/>
      <c r="B272" s="513"/>
      <c r="C272" s="120" t="str">
        <f>'инновации+добровольчество'!A380</f>
        <v>Линейка 40 см</v>
      </c>
      <c r="D272" s="69" t="str">
        <f>'инновации+добровольчество'!B380</f>
        <v>шт</v>
      </c>
      <c r="E272" s="181">
        <f>'инновации+добровольчество'!D380</f>
        <v>0.67</v>
      </c>
    </row>
    <row r="273" spans="1:5" x14ac:dyDescent="0.25">
      <c r="A273" s="514"/>
      <c r="B273" s="513"/>
      <c r="C273" s="120" t="str">
        <f>'инновации+добровольчество'!A381</f>
        <v>Линейка 30 см</v>
      </c>
      <c r="D273" s="69" t="str">
        <f>'инновации+добровольчество'!B381</f>
        <v>шт</v>
      </c>
      <c r="E273" s="181">
        <f>'инновации+добровольчество'!D381</f>
        <v>1.675</v>
      </c>
    </row>
    <row r="274" spans="1:5" x14ac:dyDescent="0.25">
      <c r="A274" s="514"/>
      <c r="B274" s="513"/>
      <c r="C274" s="120" t="str">
        <f>'инновации+добровольчество'!A382</f>
        <v>Линейка 20 см</v>
      </c>
      <c r="D274" s="69" t="str">
        <f>'инновации+добровольчество'!B382</f>
        <v>шт</v>
      </c>
      <c r="E274" s="181">
        <f>'инновации+добровольчество'!D382</f>
        <v>1.34</v>
      </c>
    </row>
    <row r="275" spans="1:5" x14ac:dyDescent="0.25">
      <c r="A275" s="514"/>
      <c r="B275" s="513"/>
      <c r="C275" s="120" t="str">
        <f>'инновации+добровольчество'!A383</f>
        <v>Маркер черный толстый</v>
      </c>
      <c r="D275" s="69" t="str">
        <f>'инновации+добровольчество'!B383</f>
        <v>шт</v>
      </c>
      <c r="E275" s="181">
        <f>'инновации+добровольчество'!D383</f>
        <v>0.33500000000000002</v>
      </c>
    </row>
    <row r="276" spans="1:5" x14ac:dyDescent="0.25">
      <c r="A276" s="514"/>
      <c r="B276" s="513"/>
      <c r="C276" s="120" t="str">
        <f>'инновации+добровольчество'!A384</f>
        <v>Маркер черный тонкий</v>
      </c>
      <c r="D276" s="69" t="str">
        <f>'инновации+добровольчество'!B384</f>
        <v>шт</v>
      </c>
      <c r="E276" s="181">
        <f>'инновации+добровольчество'!D384</f>
        <v>2.68</v>
      </c>
    </row>
    <row r="277" spans="1:5" x14ac:dyDescent="0.25">
      <c r="A277" s="514"/>
      <c r="B277" s="513"/>
      <c r="C277" s="120" t="str">
        <f>'инновации+добровольчество'!A385</f>
        <v>Маркер (набор)</v>
      </c>
      <c r="D277" s="69" t="str">
        <f>'инновации+добровольчество'!B385</f>
        <v>шт</v>
      </c>
      <c r="E277" s="181">
        <f>'инновации+добровольчество'!D385</f>
        <v>0.33500000000000002</v>
      </c>
    </row>
    <row r="278" spans="1:5" x14ac:dyDescent="0.25">
      <c r="A278" s="514"/>
      <c r="B278" s="513"/>
      <c r="C278" s="120" t="str">
        <f>'инновации+добровольчество'!A386</f>
        <v>Маркер красный</v>
      </c>
      <c r="D278" s="69" t="str">
        <f>'инновации+добровольчество'!B386</f>
        <v>шт</v>
      </c>
      <c r="E278" s="181">
        <f>'инновации+добровольчество'!D386</f>
        <v>1.34</v>
      </c>
    </row>
    <row r="279" spans="1:5" x14ac:dyDescent="0.25">
      <c r="A279" s="514"/>
      <c r="B279" s="513"/>
      <c r="C279" s="120" t="str">
        <f>'инновации+добровольчество'!A387</f>
        <v>Маркер (синий)</v>
      </c>
      <c r="D279" s="69" t="str">
        <f>'инновации+добровольчество'!B387</f>
        <v>шт</v>
      </c>
      <c r="E279" s="181">
        <f>'инновации+добровольчество'!D387</f>
        <v>0.67</v>
      </c>
    </row>
    <row r="280" spans="1:5" x14ac:dyDescent="0.25">
      <c r="A280" s="514"/>
      <c r="B280" s="513"/>
      <c r="C280" s="120" t="str">
        <f>'инновации+добровольчество'!A388</f>
        <v>Клей маленький</v>
      </c>
      <c r="D280" s="69" t="str">
        <f>'инновации+добровольчество'!B388</f>
        <v>шт</v>
      </c>
      <c r="E280" s="181">
        <f>'инновации+добровольчество'!D388</f>
        <v>3.0150000000000001</v>
      </c>
    </row>
    <row r="281" spans="1:5" x14ac:dyDescent="0.25">
      <c r="A281" s="514"/>
      <c r="B281" s="513"/>
      <c r="C281" s="120" t="str">
        <f>'инновации+добровольчество'!A389</f>
        <v>Клей большой</v>
      </c>
      <c r="D281" s="69" t="str">
        <f>'инновации+добровольчество'!B389</f>
        <v>шт</v>
      </c>
      <c r="E281" s="181">
        <f>'инновации+добровольчество'!D389</f>
        <v>1.675</v>
      </c>
    </row>
    <row r="282" spans="1:5" x14ac:dyDescent="0.25">
      <c r="A282" s="514"/>
      <c r="B282" s="513"/>
      <c r="C282" s="120" t="str">
        <f>'инновации+добровольчество'!A390</f>
        <v>Резак для резки бумаги</v>
      </c>
      <c r="D282" s="69" t="str">
        <f>'инновации+добровольчество'!B390</f>
        <v>шт</v>
      </c>
      <c r="E282" s="181">
        <f>'инновации+добровольчество'!D390</f>
        <v>0.33500000000000002</v>
      </c>
    </row>
    <row r="283" spans="1:5" x14ac:dyDescent="0.25">
      <c r="A283" s="514"/>
      <c r="B283" s="513"/>
      <c r="C283" s="120" t="str">
        <f>'инновации+добровольчество'!A391</f>
        <v>Краска</v>
      </c>
      <c r="D283" s="69" t="str">
        <f>'инновации+добровольчество'!B391</f>
        <v>шт</v>
      </c>
      <c r="E283" s="181">
        <f>'инновации+добровольчество'!D391</f>
        <v>0.33500000000000002</v>
      </c>
    </row>
    <row r="284" spans="1:5" x14ac:dyDescent="0.25">
      <c r="A284" s="514"/>
      <c r="B284" s="513"/>
      <c r="C284" s="120" t="str">
        <f>'инновации+добровольчество'!A392</f>
        <v>Зажим маленький</v>
      </c>
      <c r="D284" s="69" t="str">
        <f>'инновации+добровольчество'!B392</f>
        <v>шт</v>
      </c>
      <c r="E284" s="181">
        <f>'инновации+добровольчество'!D392</f>
        <v>3.35</v>
      </c>
    </row>
    <row r="285" spans="1:5" x14ac:dyDescent="0.25">
      <c r="A285" s="514"/>
      <c r="B285" s="513"/>
      <c r="C285" s="120" t="str">
        <f>'инновации+добровольчество'!A393</f>
        <v>Зажим большой</v>
      </c>
      <c r="D285" s="69" t="str">
        <f>'инновации+добровольчество'!B393</f>
        <v>шт</v>
      </c>
      <c r="E285" s="181">
        <f>'инновации+добровольчество'!D393</f>
        <v>3.35</v>
      </c>
    </row>
    <row r="286" spans="1:5" x14ac:dyDescent="0.25">
      <c r="A286" s="514"/>
      <c r="B286" s="513"/>
      <c r="C286" s="120" t="str">
        <f>'инновации+добровольчество'!A394</f>
        <v>Корректор ручка</v>
      </c>
      <c r="D286" s="69" t="str">
        <f>'инновации+добровольчество'!B394</f>
        <v>шт</v>
      </c>
      <c r="E286" s="181">
        <f>'инновации+добровольчество'!D394</f>
        <v>0.67</v>
      </c>
    </row>
    <row r="287" spans="1:5" x14ac:dyDescent="0.25">
      <c r="A287" s="514"/>
      <c r="B287" s="513"/>
      <c r="C287" s="120" t="str">
        <f>'инновации+добровольчество'!A395</f>
        <v>Корректор с кистью</v>
      </c>
      <c r="D287" s="69" t="str">
        <f>'инновации+добровольчество'!B395</f>
        <v>шт</v>
      </c>
      <c r="E287" s="181">
        <f>'инновации+добровольчество'!D395</f>
        <v>0.67</v>
      </c>
    </row>
    <row r="288" spans="1:5" x14ac:dyDescent="0.25">
      <c r="A288" s="514"/>
      <c r="B288" s="513"/>
      <c r="C288" s="120" t="str">
        <f>'инновации+добровольчество'!A396</f>
        <v>Скотч</v>
      </c>
      <c r="D288" s="69" t="str">
        <f>'инновации+добровольчество'!B396</f>
        <v>шт</v>
      </c>
      <c r="E288" s="181">
        <f>'инновации+добровольчество'!D396</f>
        <v>1.675</v>
      </c>
    </row>
    <row r="289" spans="1:5" x14ac:dyDescent="0.25">
      <c r="A289" s="514"/>
      <c r="B289" s="513"/>
      <c r="C289" s="120" t="str">
        <f>'инновации+добровольчество'!A397</f>
        <v>Нож канцелярский</v>
      </c>
      <c r="D289" s="69" t="str">
        <f>'инновации+добровольчество'!B397</f>
        <v>шт</v>
      </c>
      <c r="E289" s="181">
        <f>'инновации+добровольчество'!D397</f>
        <v>4.0200000000000005</v>
      </c>
    </row>
    <row r="290" spans="1:5" x14ac:dyDescent="0.25">
      <c r="A290" s="514"/>
      <c r="B290" s="513"/>
      <c r="C290" s="120" t="str">
        <f>'инновации+добровольчество'!A398</f>
        <v>Нитки для сшивания (толстые)</v>
      </c>
      <c r="D290" s="69" t="str">
        <f>'инновации+добровольчество'!B398</f>
        <v>шт</v>
      </c>
      <c r="E290" s="181">
        <f>'инновации+добровольчество'!D398</f>
        <v>0.33500000000000002</v>
      </c>
    </row>
    <row r="291" spans="1:5" x14ac:dyDescent="0.25">
      <c r="A291" s="514"/>
      <c r="B291" s="513"/>
      <c r="C291" s="120" t="str">
        <f>'инновации+добровольчество'!A399</f>
        <v>Шило</v>
      </c>
      <c r="D291" s="69" t="str">
        <f>'инновации+добровольчество'!B399</f>
        <v>шт</v>
      </c>
      <c r="E291" s="181">
        <f>'инновации+добровольчество'!D399</f>
        <v>0.33500000000000002</v>
      </c>
    </row>
    <row r="292" spans="1:5" x14ac:dyDescent="0.25">
      <c r="A292" s="514"/>
      <c r="B292" s="513"/>
      <c r="C292" s="120" t="str">
        <f>'инновации+добровольчество'!A400</f>
        <v>Дырокол на 10 листов металл.</v>
      </c>
      <c r="D292" s="69" t="str">
        <f>'инновации+добровольчество'!B400</f>
        <v>шт</v>
      </c>
      <c r="E292" s="181">
        <f>'инновации+добровольчество'!D400</f>
        <v>1.34</v>
      </c>
    </row>
    <row r="293" spans="1:5" x14ac:dyDescent="0.25">
      <c r="A293" s="514"/>
      <c r="B293" s="513"/>
      <c r="C293" s="120" t="str">
        <f>'инновации+добровольчество'!A401</f>
        <v>Дырокол на 70 листов черный</v>
      </c>
      <c r="D293" s="69" t="str">
        <f>'инновации+добровольчество'!B401</f>
        <v>шт</v>
      </c>
      <c r="E293" s="181">
        <f>'инновации+добровольчество'!D401</f>
        <v>0.33500000000000002</v>
      </c>
    </row>
    <row r="294" spans="1:5" x14ac:dyDescent="0.25">
      <c r="A294" s="514"/>
      <c r="B294" s="513"/>
      <c r="C294" s="120" t="str">
        <f>'инновации+добровольчество'!A402</f>
        <v>Карандаш простой</v>
      </c>
      <c r="D294" s="69" t="str">
        <f>'инновации+добровольчество'!B402</f>
        <v>шт</v>
      </c>
      <c r="E294" s="181">
        <f>'инновации+добровольчество'!D402</f>
        <v>3.35</v>
      </c>
    </row>
    <row r="295" spans="1:5" x14ac:dyDescent="0.25">
      <c r="A295" s="514"/>
      <c r="B295" s="513"/>
      <c r="C295" s="120" t="str">
        <f>'инновации+добровольчество'!A403</f>
        <v>Ручка</v>
      </c>
      <c r="D295" s="69" t="str">
        <f>'инновации+добровольчество'!B403</f>
        <v>шт</v>
      </c>
      <c r="E295" s="181">
        <f>'инновации+добровольчество'!D403</f>
        <v>0.33500000000000002</v>
      </c>
    </row>
    <row r="296" spans="1:5" x14ac:dyDescent="0.25">
      <c r="A296" s="514"/>
      <c r="B296" s="513"/>
      <c r="C296" s="120" t="str">
        <f>'инновации+добровольчество'!A404</f>
        <v>Полотенце</v>
      </c>
      <c r="D296" s="69" t="str">
        <f>'инновации+добровольчество'!B404</f>
        <v>шт</v>
      </c>
      <c r="E296" s="181">
        <f>'инновации+добровольчество'!D404</f>
        <v>1.675</v>
      </c>
    </row>
    <row r="297" spans="1:5" x14ac:dyDescent="0.25">
      <c r="A297" s="514"/>
      <c r="B297" s="513"/>
      <c r="C297" s="120" t="str">
        <f>'инновации+добровольчество'!A405</f>
        <v>Комплект веник-совок</v>
      </c>
      <c r="D297" s="69" t="str">
        <f>'инновации+добровольчество'!B405</f>
        <v>шт</v>
      </c>
      <c r="E297" s="181">
        <f>'инновации+добровольчество'!D405</f>
        <v>1.0050000000000001</v>
      </c>
    </row>
    <row r="298" spans="1:5" x14ac:dyDescent="0.25">
      <c r="A298" s="514"/>
      <c r="B298" s="513"/>
      <c r="C298" s="120" t="str">
        <f>'инновации+добровольчество'!A406</f>
        <v>Насадки на швабру</v>
      </c>
      <c r="D298" s="69" t="str">
        <f>'инновации+добровольчество'!B406</f>
        <v>шт</v>
      </c>
      <c r="E298" s="181">
        <f>'инновации+добровольчество'!D406</f>
        <v>1.34</v>
      </c>
    </row>
    <row r="299" spans="1:5" x14ac:dyDescent="0.25">
      <c r="A299" s="514"/>
      <c r="B299" s="513"/>
      <c r="C299" s="120" t="str">
        <f>'инновации+добровольчество'!A407</f>
        <v>Бумага Svetocopy</v>
      </c>
      <c r="D299" s="69" t="str">
        <f>'инновации+добровольчество'!B407</f>
        <v>шт</v>
      </c>
      <c r="E299" s="181">
        <f>'инновации+добровольчество'!D407</f>
        <v>10.050000000000001</v>
      </c>
    </row>
    <row r="300" spans="1:5" x14ac:dyDescent="0.25">
      <c r="A300" s="514"/>
      <c r="B300" s="513"/>
      <c r="C300" s="120" t="str">
        <f>'инновации+добровольчество'!A408</f>
        <v>Папка накопитель</v>
      </c>
      <c r="D300" s="69" t="str">
        <f>'инновации+добровольчество'!B408</f>
        <v>шт</v>
      </c>
      <c r="E300" s="181">
        <f>'инновации+добровольчество'!D408</f>
        <v>0.33500000000000002</v>
      </c>
    </row>
    <row r="301" spans="1:5" x14ac:dyDescent="0.25">
      <c r="A301" s="514"/>
      <c r="B301" s="513"/>
      <c r="C301" s="120" t="str">
        <f>'инновации+добровольчество'!A409</f>
        <v>Набор пил колец</v>
      </c>
      <c r="D301" s="69" t="str">
        <f>'инновации+добровольчество'!B409</f>
        <v>шт</v>
      </c>
      <c r="E301" s="181">
        <f>'инновации+добровольчество'!D409</f>
        <v>0.33500000000000002</v>
      </c>
    </row>
    <row r="302" spans="1:5" x14ac:dyDescent="0.25">
      <c r="A302" s="514"/>
      <c r="B302" s="513"/>
      <c r="C302" s="120" t="str">
        <f>'инновации+добровольчество'!A410</f>
        <v>Клей</v>
      </c>
      <c r="D302" s="69" t="str">
        <f>'инновации+добровольчество'!B410</f>
        <v>шт</v>
      </c>
      <c r="E302" s="181">
        <f>'инновации+добровольчество'!D410</f>
        <v>0.33500000000000002</v>
      </c>
    </row>
    <row r="303" spans="1:5" x14ac:dyDescent="0.25">
      <c r="A303" s="514"/>
      <c r="B303" s="513"/>
      <c r="C303" s="120" t="str">
        <f>'инновации+добровольчество'!A411</f>
        <v>Крышка горловины</v>
      </c>
      <c r="D303" s="69" t="str">
        <f>'инновации+добровольчество'!B411</f>
        <v>шт</v>
      </c>
      <c r="E303" s="181">
        <f>'инновации+добровольчество'!D411</f>
        <v>0.67</v>
      </c>
    </row>
    <row r="304" spans="1:5" x14ac:dyDescent="0.25">
      <c r="A304" s="514"/>
      <c r="B304" s="513"/>
      <c r="C304" s="120" t="str">
        <f>'инновации+добровольчество'!A412</f>
        <v>папка скоросшиватель</v>
      </c>
      <c r="D304" s="69" t="str">
        <f>'инновации+добровольчество'!B412</f>
        <v>шт</v>
      </c>
      <c r="E304" s="181">
        <f>'инновации+добровольчество'!D412</f>
        <v>3.35</v>
      </c>
    </row>
    <row r="305" spans="1:5" x14ac:dyDescent="0.25">
      <c r="A305" s="514"/>
      <c r="B305" s="513"/>
      <c r="C305" s="120" t="str">
        <f>'инновации+добровольчество'!A413</f>
        <v>Прессвол РОР-АР 3,5*2,3м</v>
      </c>
      <c r="D305" s="69" t="str">
        <f>'инновации+добровольчество'!B413</f>
        <v>шт</v>
      </c>
      <c r="E305" s="181">
        <f>'инновации+добровольчество'!D413</f>
        <v>0.33500000000000002</v>
      </c>
    </row>
    <row r="306" spans="1:5" x14ac:dyDescent="0.25">
      <c r="A306" s="514"/>
      <c r="B306" s="513"/>
      <c r="C306" s="120" t="str">
        <f>'инновации+добровольчество'!A414</f>
        <v>плинтус кабель-канал</v>
      </c>
      <c r="D306" s="69" t="str">
        <f>'инновации+добровольчество'!B414</f>
        <v>шт</v>
      </c>
      <c r="E306" s="181">
        <f>'инновации+добровольчество'!D414</f>
        <v>1.0050000000000001</v>
      </c>
    </row>
    <row r="307" spans="1:5" x14ac:dyDescent="0.25">
      <c r="A307" s="514"/>
      <c r="B307" s="513"/>
      <c r="C307" s="120" t="str">
        <f>'инновации+добровольчество'!A415</f>
        <v>валик малярный L</v>
      </c>
      <c r="D307" s="69" t="str">
        <f>'инновации+добровольчество'!B415</f>
        <v>шт</v>
      </c>
      <c r="E307" s="181">
        <f>'инновации+добровольчество'!D415</f>
        <v>0.67</v>
      </c>
    </row>
    <row r="308" spans="1:5" x14ac:dyDescent="0.25">
      <c r="A308" s="514"/>
      <c r="B308" s="513"/>
      <c r="C308" s="120" t="str">
        <f>'инновации+добровольчество'!A416</f>
        <v>валик малярный профи</v>
      </c>
      <c r="D308" s="69" t="str">
        <f>'инновации+добровольчество'!B416</f>
        <v>шт</v>
      </c>
      <c r="E308" s="181">
        <f>'инновации+добровольчество'!D416</f>
        <v>0.67</v>
      </c>
    </row>
    <row r="309" spans="1:5" x14ac:dyDescent="0.25">
      <c r="A309" s="514"/>
      <c r="B309" s="513"/>
      <c r="C309" s="120" t="str">
        <f>'инновации+добровольчество'!A417</f>
        <v>кабель-канал</v>
      </c>
      <c r="D309" s="69" t="str">
        <f>'инновации+добровольчество'!B417</f>
        <v>шт</v>
      </c>
      <c r="E309" s="181">
        <f>'инновации+добровольчество'!D417</f>
        <v>1.675</v>
      </c>
    </row>
    <row r="310" spans="1:5" x14ac:dyDescent="0.25">
      <c r="A310" s="514"/>
      <c r="B310" s="513"/>
      <c r="C310" s="120" t="str">
        <f>'инновации+добровольчество'!A418</f>
        <v>ванночка малярная</v>
      </c>
      <c r="D310" s="69" t="str">
        <f>'инновации+добровольчество'!B418</f>
        <v>шт</v>
      </c>
      <c r="E310" s="181">
        <f>'инновации+добровольчество'!D418</f>
        <v>0.67</v>
      </c>
    </row>
    <row r="311" spans="1:5" x14ac:dyDescent="0.25">
      <c r="A311" s="514"/>
      <c r="B311" s="513"/>
      <c r="C311" s="120" t="str">
        <f>'инновации+добровольчество'!A419</f>
        <v>шайба крановая</v>
      </c>
      <c r="D311" s="69" t="str">
        <f>'инновации+добровольчество'!B419</f>
        <v>шт</v>
      </c>
      <c r="E311" s="181">
        <f>'инновации+добровольчество'!D419</f>
        <v>6.7</v>
      </c>
    </row>
    <row r="312" spans="1:5" x14ac:dyDescent="0.25">
      <c r="A312" s="514"/>
      <c r="B312" s="513"/>
      <c r="C312" s="120" t="str">
        <f>'инновации+добровольчество'!A420</f>
        <v>эмаль аэрозоль</v>
      </c>
      <c r="D312" s="69" t="str">
        <f>'инновации+добровольчество'!B420</f>
        <v>шт</v>
      </c>
      <c r="E312" s="181">
        <f>'инновации+добровольчество'!D420</f>
        <v>0.67</v>
      </c>
    </row>
    <row r="313" spans="1:5" x14ac:dyDescent="0.25">
      <c r="A313" s="514"/>
      <c r="B313" s="513"/>
      <c r="C313" s="120" t="str">
        <f>'инновации+добровольчество'!A421</f>
        <v>Папка-регистратор</v>
      </c>
      <c r="D313" s="69" t="str">
        <f>'инновации+добровольчество'!B421</f>
        <v>шт</v>
      </c>
      <c r="E313" s="181">
        <f>'инновации+добровольчество'!D421</f>
        <v>7.37</v>
      </c>
    </row>
    <row r="314" spans="1:5" x14ac:dyDescent="0.25">
      <c r="A314" s="514"/>
      <c r="B314" s="513"/>
      <c r="C314" s="120" t="str">
        <f>'инновации+добровольчество'!A422</f>
        <v>Блок питания</v>
      </c>
      <c r="D314" s="69" t="str">
        <f>'инновации+добровольчество'!B422</f>
        <v>шт</v>
      </c>
      <c r="E314" s="181">
        <f>'инновации+добровольчество'!D422</f>
        <v>0.33500000000000002</v>
      </c>
    </row>
    <row r="315" spans="1:5" x14ac:dyDescent="0.25">
      <c r="A315" s="514"/>
      <c r="B315" s="513"/>
      <c r="C315" s="120" t="str">
        <f>'инновации+добровольчество'!A423</f>
        <v>Кабель</v>
      </c>
      <c r="D315" s="69" t="str">
        <f>'инновации+добровольчество'!B423</f>
        <v>шт</v>
      </c>
      <c r="E315" s="181">
        <f>'инновации+добровольчество'!D423</f>
        <v>1.0050000000000001</v>
      </c>
    </row>
    <row r="316" spans="1:5" x14ac:dyDescent="0.25">
      <c r="A316" s="514"/>
      <c r="B316" s="513"/>
      <c r="C316" s="120" t="str">
        <f>'инновации+добровольчество'!A424</f>
        <v>Карта памяти</v>
      </c>
      <c r="D316" s="69" t="str">
        <f>'инновации+добровольчество'!B424</f>
        <v>шт</v>
      </c>
      <c r="E316" s="181">
        <f>'инновации+добровольчество'!D424</f>
        <v>0.67</v>
      </c>
    </row>
    <row r="317" spans="1:5" x14ac:dyDescent="0.25">
      <c r="A317" s="514"/>
      <c r="B317" s="513"/>
      <c r="C317" s="120" t="str">
        <f>'инновации+добровольчество'!A425</f>
        <v>Кабель</v>
      </c>
      <c r="D317" s="69" t="str">
        <f>'инновации+добровольчество'!B425</f>
        <v>шт</v>
      </c>
      <c r="E317" s="181">
        <f>'инновации+добровольчество'!D425</f>
        <v>0.33500000000000002</v>
      </c>
    </row>
    <row r="318" spans="1:5" x14ac:dyDescent="0.25">
      <c r="A318" s="514"/>
      <c r="B318" s="513"/>
      <c r="C318" s="120" t="str">
        <f>'инновации+добровольчество'!A426</f>
        <v>Бумага Lomond 230</v>
      </c>
      <c r="D318" s="69" t="str">
        <f>'инновации+добровольчество'!B426</f>
        <v>шт</v>
      </c>
      <c r="E318" s="181">
        <f>'инновации+добровольчество'!D426</f>
        <v>0.67</v>
      </c>
    </row>
    <row r="319" spans="1:5" x14ac:dyDescent="0.25">
      <c r="A319" s="514"/>
      <c r="B319" s="513"/>
      <c r="C319" s="120" t="str">
        <f>'инновации+добровольчество'!A427</f>
        <v>Бумага Lomond 140</v>
      </c>
      <c r="D319" s="69" t="str">
        <f>'инновации+добровольчество'!B427</f>
        <v>шт</v>
      </c>
      <c r="E319" s="181">
        <f>'инновации+добровольчество'!D427</f>
        <v>0.67</v>
      </c>
    </row>
    <row r="320" spans="1:5" x14ac:dyDescent="0.25">
      <c r="A320" s="514"/>
      <c r="B320" s="513"/>
      <c r="C320" s="120" t="str">
        <f>'инновации+добровольчество'!A428</f>
        <v>Бумага Lomond 200</v>
      </c>
      <c r="D320" s="69" t="str">
        <f>'инновации+добровольчество'!B428</f>
        <v>шт</v>
      </c>
      <c r="E320" s="181">
        <f>'инновации+добровольчество'!D428</f>
        <v>0.67</v>
      </c>
    </row>
    <row r="321" spans="1:5" x14ac:dyDescent="0.25">
      <c r="A321" s="514"/>
      <c r="B321" s="513"/>
      <c r="C321" s="120" t="str">
        <f>'инновации+добровольчество'!A429</f>
        <v>Бумага Cactus 180</v>
      </c>
      <c r="D321" s="69" t="str">
        <f>'инновации+добровольчество'!B429</f>
        <v>шт</v>
      </c>
      <c r="E321" s="181">
        <f>'инновации+добровольчество'!D429</f>
        <v>0.67</v>
      </c>
    </row>
    <row r="322" spans="1:5" x14ac:dyDescent="0.25">
      <c r="A322" s="514"/>
      <c r="B322" s="513"/>
      <c r="C322" s="120" t="str">
        <f>'инновации+добровольчество'!A430</f>
        <v>Бумага Cactus 230</v>
      </c>
      <c r="D322" s="69" t="str">
        <f>'инновации+добровольчество'!B430</f>
        <v>шт</v>
      </c>
      <c r="E322" s="181">
        <f>'инновации+добровольчество'!D430</f>
        <v>0.67</v>
      </c>
    </row>
    <row r="323" spans="1:5" x14ac:dyDescent="0.25">
      <c r="A323" s="514"/>
      <c r="B323" s="513"/>
      <c r="C323" s="120" t="str">
        <f>'инновации+добровольчество'!A431</f>
        <v>Бумага офисная А3</v>
      </c>
      <c r="D323" s="69" t="str">
        <f>'инновации+добровольчество'!B431</f>
        <v>шт</v>
      </c>
      <c r="E323" s="181">
        <f>'инновации+добровольчество'!D431</f>
        <v>1.675</v>
      </c>
    </row>
    <row r="324" spans="1:5" ht="17.25" customHeight="1" x14ac:dyDescent="0.25">
      <c r="A324" s="514"/>
      <c r="B324" s="513"/>
      <c r="C324" s="120" t="str">
        <f>'инновации+добровольчество'!A432</f>
        <v>Бумага Lomond А3</v>
      </c>
      <c r="D324" s="69" t="str">
        <f>'инновации+добровольчество'!B432</f>
        <v>шт</v>
      </c>
      <c r="E324" s="181">
        <f>'инновации+добровольчество'!D432</f>
        <v>1.34</v>
      </c>
    </row>
    <row r="325" spans="1:5" x14ac:dyDescent="0.25">
      <c r="A325" s="514"/>
      <c r="B325" s="513"/>
      <c r="C325" s="120" t="str">
        <f>'инновации+добровольчество'!A433</f>
        <v>Папка-регистратор</v>
      </c>
      <c r="D325" s="69" t="str">
        <f>'инновации+добровольчество'!B433</f>
        <v>шт</v>
      </c>
      <c r="E325" s="181">
        <f>'инновации+добровольчество'!D433</f>
        <v>3.35</v>
      </c>
    </row>
    <row r="326" spans="1:5" x14ac:dyDescent="0.25">
      <c r="A326" s="514"/>
      <c r="B326" s="513"/>
      <c r="C326" s="120" t="str">
        <f>'инновации+добровольчество'!A434</f>
        <v>Блокнот для флипчарта</v>
      </c>
      <c r="D326" s="69" t="str">
        <f>'инновации+добровольчество'!B434</f>
        <v>шт</v>
      </c>
      <c r="E326" s="181">
        <f>'инновации+добровольчество'!D434</f>
        <v>1.675</v>
      </c>
    </row>
    <row r="327" spans="1:5" x14ac:dyDescent="0.25">
      <c r="A327" s="514"/>
      <c r="B327" s="513"/>
      <c r="C327" s="120" t="str">
        <f>'инновации+добровольчество'!A435</f>
        <v>Чернила для заправки комплект</v>
      </c>
      <c r="D327" s="69" t="str">
        <f>'инновации+добровольчество'!B435</f>
        <v>шт</v>
      </c>
      <c r="E327" s="181">
        <f>'инновации+добровольчество'!D435</f>
        <v>1.34</v>
      </c>
    </row>
    <row r="328" spans="1:5" x14ac:dyDescent="0.25">
      <c r="A328" s="514"/>
      <c r="B328" s="513"/>
      <c r="C328" s="120" t="str">
        <f>'инновации+добровольчество'!A442</f>
        <v>гвозди строит</v>
      </c>
      <c r="D328" s="69" t="str">
        <f>'инновации+добровольчество'!B436</f>
        <v>шт</v>
      </c>
      <c r="E328" s="181">
        <f>'инновации+добровольчество'!D436</f>
        <v>0.67</v>
      </c>
    </row>
    <row r="329" spans="1:5" x14ac:dyDescent="0.25">
      <c r="A329" s="514"/>
      <c r="B329" s="513"/>
      <c r="C329" s="120" t="str">
        <f>'инновации+добровольчество'!A443</f>
        <v>гвозди строит</v>
      </c>
      <c r="D329" s="69" t="str">
        <f>'инновации+добровольчество'!B437</f>
        <v>шт</v>
      </c>
      <c r="E329" s="181">
        <f>'инновации+добровольчество'!D437</f>
        <v>10.050000000000001</v>
      </c>
    </row>
    <row r="330" spans="1:5" x14ac:dyDescent="0.25">
      <c r="A330" s="514"/>
      <c r="B330" s="513"/>
      <c r="C330" s="120" t="str">
        <f>'инновации+добровольчество'!A444</f>
        <v>Помпа дополнительная</v>
      </c>
      <c r="D330" s="69" t="str">
        <f>'инновации+добровольчество'!B438</f>
        <v>шт</v>
      </c>
      <c r="E330" s="181">
        <f>'инновации+добровольчество'!D438</f>
        <v>0.33500000000000002</v>
      </c>
    </row>
    <row r="331" spans="1:5" x14ac:dyDescent="0.25">
      <c r="A331" s="514"/>
      <c r="B331" s="513"/>
      <c r="C331" s="120" t="str">
        <f>'инновации+добровольчество'!A445</f>
        <v>уголок крепежный</v>
      </c>
      <c r="D331" s="69" t="str">
        <f>'инновации+добровольчество'!B439</f>
        <v>шт</v>
      </c>
      <c r="E331" s="181">
        <f>'инновации+добровольчество'!D439</f>
        <v>67</v>
      </c>
    </row>
    <row r="332" spans="1:5" x14ac:dyDescent="0.25">
      <c r="A332" s="514"/>
      <c r="B332" s="513"/>
      <c r="C332" s="120" t="str">
        <f>'инновации+добровольчество'!A446</f>
        <v>саморез</v>
      </c>
      <c r="D332" s="69" t="str">
        <f>'инновации+добровольчество'!B440</f>
        <v>шт</v>
      </c>
      <c r="E332" s="181">
        <f>'инновации+добровольчество'!D440</f>
        <v>83.75</v>
      </c>
    </row>
    <row r="333" spans="1:5" x14ac:dyDescent="0.25">
      <c r="A333" s="514"/>
      <c r="B333" s="513"/>
      <c r="C333" s="120" t="str">
        <f>'инновации+добровольчество'!A447</f>
        <v>гвозди строит</v>
      </c>
      <c r="D333" s="69" t="str">
        <f>'инновации+добровольчество'!B441</f>
        <v>шт</v>
      </c>
      <c r="E333" s="181">
        <f>'инновации+добровольчество'!D441</f>
        <v>0.33500000000000002</v>
      </c>
    </row>
    <row r="334" spans="1:5" x14ac:dyDescent="0.25">
      <c r="A334" s="514"/>
      <c r="B334" s="513"/>
      <c r="C334" s="120" t="str">
        <f>'инновации+добровольчество'!A448</f>
        <v>стяжка для проводов</v>
      </c>
      <c r="D334" s="69" t="str">
        <f>'инновации+добровольчество'!B442</f>
        <v>шт</v>
      </c>
      <c r="E334" s="181">
        <f>'инновации+добровольчество'!D442</f>
        <v>0.67</v>
      </c>
    </row>
    <row r="335" spans="1:5" x14ac:dyDescent="0.25">
      <c r="A335" s="514"/>
      <c r="B335" s="513"/>
      <c r="C335" s="120" t="str">
        <f>'инновации+добровольчество'!A449</f>
        <v>стяжка для проводов</v>
      </c>
      <c r="D335" s="69" t="str">
        <f>'инновации+добровольчество'!B443</f>
        <v>шт</v>
      </c>
      <c r="E335" s="181">
        <f>'инновации+добровольчество'!D443</f>
        <v>0.67</v>
      </c>
    </row>
    <row r="336" spans="1:5" x14ac:dyDescent="0.25">
      <c r="A336" s="514"/>
      <c r="B336" s="513"/>
      <c r="C336" s="120" t="str">
        <f>'инновации+добровольчество'!A450</f>
        <v>гвозди строит</v>
      </c>
      <c r="D336" s="69" t="str">
        <f>'инновации+добровольчество'!B444</f>
        <v>шт</v>
      </c>
      <c r="E336" s="181">
        <f>'инновации+добровольчество'!D444</f>
        <v>0.33500000000000002</v>
      </c>
    </row>
    <row r="337" spans="1:5" x14ac:dyDescent="0.25">
      <c r="A337" s="514"/>
      <c r="B337" s="513"/>
      <c r="C337" s="120" t="str">
        <f>'инновации+добровольчество'!A451</f>
        <v>Стойки, втулки Хёндай</v>
      </c>
      <c r="D337" s="69" t="str">
        <f>'инновации+добровольчество'!B445</f>
        <v>шт</v>
      </c>
      <c r="E337" s="181">
        <f>'инновации+добровольчество'!D445</f>
        <v>3.35</v>
      </c>
    </row>
    <row r="338" spans="1:5" x14ac:dyDescent="0.25">
      <c r="A338" s="514"/>
      <c r="B338" s="513"/>
      <c r="C338" s="120" t="str">
        <f>'инновации+добровольчество'!A452</f>
        <v xml:space="preserve">хозяйственно-бытовые товары </v>
      </c>
      <c r="D338" s="69" t="str">
        <f>'инновации+добровольчество'!B446</f>
        <v>шт</v>
      </c>
      <c r="E338" s="181">
        <f>'инновации+добровольчество'!D446</f>
        <v>147.4</v>
      </c>
    </row>
    <row r="339" spans="1:5" x14ac:dyDescent="0.25">
      <c r="A339" s="514"/>
      <c r="B339" s="513"/>
      <c r="C339" s="120" t="str">
        <f>'инновации+добровольчество'!A453</f>
        <v>антифриз для УАЗ</v>
      </c>
      <c r="D339" s="69" t="str">
        <f>'инновации+добровольчество'!B447</f>
        <v>шт</v>
      </c>
      <c r="E339" s="181">
        <f>'инновации+добровольчество'!D447</f>
        <v>0.67</v>
      </c>
    </row>
    <row r="340" spans="1:5" hidden="1" x14ac:dyDescent="0.25">
      <c r="C340" s="120">
        <f>'инновации+добровольчество'!A454</f>
        <v>0</v>
      </c>
    </row>
    <row r="341" spans="1:5" hidden="1" x14ac:dyDescent="0.25">
      <c r="C341" s="120">
        <f>'инновации+добровольчество'!A455</f>
        <v>0</v>
      </c>
    </row>
    <row r="342" spans="1:5" hidden="1" x14ac:dyDescent="0.25">
      <c r="C342" s="120">
        <f>'инновации+добровольчество'!A456</f>
        <v>0</v>
      </c>
    </row>
    <row r="343" spans="1:5" hidden="1" x14ac:dyDescent="0.25">
      <c r="C343" s="120">
        <f>'инновации+добровольчество'!A457</f>
        <v>0</v>
      </c>
    </row>
    <row r="344" spans="1:5" hidden="1" x14ac:dyDescent="0.25">
      <c r="C344" s="120">
        <f>'инновации+добровольчество'!A458</f>
        <v>0</v>
      </c>
    </row>
    <row r="345" spans="1:5" hidden="1" x14ac:dyDescent="0.25">
      <c r="C345" s="120">
        <f>'инновации+добровольчество'!A459</f>
        <v>0</v>
      </c>
    </row>
    <row r="346" spans="1:5" hidden="1" x14ac:dyDescent="0.25">
      <c r="C346" s="120">
        <f>'инновации+добровольчество'!A460</f>
        <v>0</v>
      </c>
    </row>
    <row r="347" spans="1:5" hidden="1" x14ac:dyDescent="0.25">
      <c r="C347" s="120">
        <f>'инновации+добровольчество'!A461</f>
        <v>0</v>
      </c>
    </row>
    <row r="348" spans="1:5" hidden="1" x14ac:dyDescent="0.25">
      <c r="C348" s="120">
        <f>'инновации+добровольчество'!A462</f>
        <v>0</v>
      </c>
    </row>
    <row r="349" spans="1:5" hidden="1" x14ac:dyDescent="0.25">
      <c r="C349" s="120">
        <f>'инновации+добровольчество'!A463</f>
        <v>0</v>
      </c>
    </row>
    <row r="350" spans="1:5" hidden="1" x14ac:dyDescent="0.25">
      <c r="C350" s="120">
        <f>'инновации+добровольчество'!A464</f>
        <v>0</v>
      </c>
    </row>
    <row r="351" spans="1:5" hidden="1" x14ac:dyDescent="0.25">
      <c r="C351" s="120">
        <f>'инновации+добровольчество'!A465</f>
        <v>0</v>
      </c>
    </row>
    <row r="352" spans="1:5" hidden="1" x14ac:dyDescent="0.25">
      <c r="C352" s="120">
        <f>'инновации+добровольчество'!A466</f>
        <v>0</v>
      </c>
    </row>
    <row r="353" spans="3:3" hidden="1" x14ac:dyDescent="0.25">
      <c r="C353" s="120">
        <f>'инновации+добровольчество'!A467</f>
        <v>0</v>
      </c>
    </row>
    <row r="354" spans="3:3" hidden="1" x14ac:dyDescent="0.25">
      <c r="C354" s="120">
        <f>'инновации+добровольчество'!A468</f>
        <v>0</v>
      </c>
    </row>
    <row r="355" spans="3:3" hidden="1" x14ac:dyDescent="0.25">
      <c r="C355" s="120">
        <f>'инновации+добровольчество'!A469</f>
        <v>0</v>
      </c>
    </row>
    <row r="356" spans="3:3" hidden="1" x14ac:dyDescent="0.25">
      <c r="C356" s="120">
        <f>'инновации+добровольчество'!A470</f>
        <v>0</v>
      </c>
    </row>
    <row r="357" spans="3:3" hidden="1" x14ac:dyDescent="0.25">
      <c r="C357" s="120">
        <f>'инновации+добровольчество'!A471</f>
        <v>0</v>
      </c>
    </row>
    <row r="358" spans="3:3" hidden="1" x14ac:dyDescent="0.25">
      <c r="C358" s="120">
        <f>'инновации+добровольчество'!A472</f>
        <v>0</v>
      </c>
    </row>
    <row r="359" spans="3:3" hidden="1" x14ac:dyDescent="0.25">
      <c r="C359" s="120">
        <f>'инновации+добровольчество'!A473</f>
        <v>0</v>
      </c>
    </row>
    <row r="360" spans="3:3" hidden="1" x14ac:dyDescent="0.25">
      <c r="C360" s="120">
        <f>'инновации+добровольчество'!A474</f>
        <v>0</v>
      </c>
    </row>
    <row r="361" spans="3:3" hidden="1" x14ac:dyDescent="0.25">
      <c r="C361" s="120">
        <f>'инновации+добровольчество'!A475</f>
        <v>0</v>
      </c>
    </row>
    <row r="362" spans="3:3" hidden="1" x14ac:dyDescent="0.25">
      <c r="C362" s="120">
        <f>'инновации+добровольчество'!A476</f>
        <v>0</v>
      </c>
    </row>
    <row r="363" spans="3:3" hidden="1" x14ac:dyDescent="0.25">
      <c r="C363" s="120">
        <f>'инновации+добровольчество'!A477</f>
        <v>0</v>
      </c>
    </row>
    <row r="364" spans="3:3" hidden="1" x14ac:dyDescent="0.25">
      <c r="C364" s="120">
        <f>'инновации+добровольчество'!A478</f>
        <v>0</v>
      </c>
    </row>
    <row r="365" spans="3:3" hidden="1" x14ac:dyDescent="0.25">
      <c r="C365" s="120">
        <f>'инновации+добровольчество'!A479</f>
        <v>0</v>
      </c>
    </row>
    <row r="366" spans="3:3" hidden="1" x14ac:dyDescent="0.25">
      <c r="C366" s="120">
        <f>'инновации+добровольчество'!A480</f>
        <v>0</v>
      </c>
    </row>
    <row r="367" spans="3:3" hidden="1" x14ac:dyDescent="0.25">
      <c r="C367" s="120">
        <f>'инновации+добровольчество'!A481</f>
        <v>0</v>
      </c>
    </row>
    <row r="368" spans="3:3" hidden="1" x14ac:dyDescent="0.25">
      <c r="C368" s="120">
        <f>'инновации+добровольчество'!A482</f>
        <v>0</v>
      </c>
    </row>
    <row r="369" spans="3:3" hidden="1" x14ac:dyDescent="0.25">
      <c r="C369" s="120">
        <f>'инновации+добровольчество'!A483</f>
        <v>0</v>
      </c>
    </row>
    <row r="370" spans="3:3" hidden="1" x14ac:dyDescent="0.25">
      <c r="C370" s="120">
        <f>'инновации+добровольчество'!A484</f>
        <v>0</v>
      </c>
    </row>
    <row r="371" spans="3:3" hidden="1" x14ac:dyDescent="0.25">
      <c r="C371" s="120">
        <f>'инновации+добровольчество'!A485</f>
        <v>0</v>
      </c>
    </row>
    <row r="372" spans="3:3" hidden="1" x14ac:dyDescent="0.25">
      <c r="C372" s="120">
        <f>'инновации+добровольчество'!A486</f>
        <v>0</v>
      </c>
    </row>
    <row r="373" spans="3:3" hidden="1" x14ac:dyDescent="0.25">
      <c r="C373" s="120">
        <f>'инновации+добровольчество'!A487</f>
        <v>0</v>
      </c>
    </row>
    <row r="374" spans="3:3" hidden="1" x14ac:dyDescent="0.25">
      <c r="C374" s="120">
        <f>'инновации+добровольчество'!A488</f>
        <v>0</v>
      </c>
    </row>
    <row r="375" spans="3:3" hidden="1" x14ac:dyDescent="0.25">
      <c r="C375" s="120">
        <f>'инновации+добровольчество'!A489</f>
        <v>0</v>
      </c>
    </row>
    <row r="376" spans="3:3" hidden="1" x14ac:dyDescent="0.25">
      <c r="C376" s="120">
        <f>'инновации+добровольчество'!A490</f>
        <v>0</v>
      </c>
    </row>
    <row r="377" spans="3:3" hidden="1" x14ac:dyDescent="0.25">
      <c r="C377" s="120">
        <f>'инновации+добровольчество'!A491</f>
        <v>0</v>
      </c>
    </row>
    <row r="378" spans="3:3" hidden="1" x14ac:dyDescent="0.25">
      <c r="C378" s="120">
        <f>'инновации+добровольчество'!A492</f>
        <v>0</v>
      </c>
    </row>
    <row r="379" spans="3:3" hidden="1" x14ac:dyDescent="0.25">
      <c r="C379" s="120">
        <f>'инновации+добровольчество'!A493</f>
        <v>0</v>
      </c>
    </row>
  </sheetData>
  <mergeCells count="18">
    <mergeCell ref="D1:E1"/>
    <mergeCell ref="A3:E3"/>
    <mergeCell ref="A4:E4"/>
    <mergeCell ref="C7:E7"/>
    <mergeCell ref="C8:E8"/>
    <mergeCell ref="C88:E88"/>
    <mergeCell ref="C97:E97"/>
    <mergeCell ref="B7:B339"/>
    <mergeCell ref="A7:A339"/>
    <mergeCell ref="C15:E15"/>
    <mergeCell ref="C33:E33"/>
    <mergeCell ref="C34:E34"/>
    <mergeCell ref="C41:E41"/>
    <mergeCell ref="C75:E75"/>
    <mergeCell ref="C83:E83"/>
    <mergeCell ref="C93:E93"/>
    <mergeCell ref="C100:E100"/>
    <mergeCell ref="C11:E11"/>
  </mergeCells>
  <pageMargins left="0.70866141732283472" right="0.70866141732283472" top="0.34" bottom="0.74803149606299213" header="0.16" footer="0.31496062992125984"/>
  <pageSetup paperSize="9" scale="54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59"/>
  <sheetViews>
    <sheetView view="pageBreakPreview" topLeftCell="A13" zoomScale="85" zoomScaleNormal="70" zoomScaleSheetLayoutView="85" workbookViewId="0">
      <selection activeCell="H94" sqref="H94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9" width="19.75" style="38" customWidth="1"/>
    <col min="10" max="16384" width="25.375" style="38"/>
  </cols>
  <sheetData>
    <row r="1" spans="1:10" x14ac:dyDescent="0.25">
      <c r="A1" s="539" t="str">
        <f>'таланты+инициативы'!A1:F1</f>
        <v>Учреждение: Муниципальное бюджетное учреждение  «Молодежный центр » Северо- Енисейского района</v>
      </c>
      <c r="B1" s="539"/>
      <c r="C1" s="539"/>
      <c r="D1" s="539"/>
      <c r="E1" s="539"/>
      <c r="F1" s="539"/>
      <c r="G1" s="539"/>
      <c r="H1" s="539"/>
      <c r="I1" s="539"/>
    </row>
    <row r="2" spans="1:10" x14ac:dyDescent="0.25">
      <c r="A2" s="391" t="str">
        <f>'таланты+инициативы'!A2</f>
        <v>на 30.09.2019 год</v>
      </c>
      <c r="B2" s="391"/>
      <c r="C2" s="391"/>
      <c r="D2" s="391"/>
    </row>
    <row r="3" spans="1:10" ht="48" customHeight="1" x14ac:dyDescent="0.25">
      <c r="A3" s="40" t="s">
        <v>601</v>
      </c>
      <c r="B3" s="539" t="s">
        <v>53</v>
      </c>
      <c r="C3" s="539"/>
      <c r="D3" s="539"/>
      <c r="E3" s="539"/>
      <c r="F3" s="539"/>
      <c r="G3" s="539"/>
      <c r="H3" s="539"/>
      <c r="J3" s="185"/>
    </row>
    <row r="4" spans="1:10" x14ac:dyDescent="0.25">
      <c r="A4" s="568" t="s">
        <v>120</v>
      </c>
      <c r="B4" s="568"/>
      <c r="C4" s="568"/>
      <c r="D4" s="568"/>
      <c r="E4" s="568"/>
    </row>
    <row r="5" spans="1:10" x14ac:dyDescent="0.25">
      <c r="A5" s="569" t="s">
        <v>45</v>
      </c>
      <c r="B5" s="569"/>
      <c r="C5" s="569"/>
      <c r="D5" s="569"/>
      <c r="E5" s="569"/>
    </row>
    <row r="6" spans="1:10" x14ac:dyDescent="0.25">
      <c r="A6" s="569" t="s">
        <v>290</v>
      </c>
      <c r="B6" s="569"/>
      <c r="C6" s="569"/>
      <c r="D6" s="569"/>
      <c r="E6" s="569"/>
    </row>
    <row r="7" spans="1:10" ht="29.25" customHeight="1" x14ac:dyDescent="0.25">
      <c r="A7" s="570" t="s">
        <v>205</v>
      </c>
      <c r="B7" s="570"/>
      <c r="C7" s="570"/>
      <c r="D7" s="570"/>
      <c r="E7" s="570"/>
    </row>
    <row r="8" spans="1:10" ht="15.75" x14ac:dyDescent="0.25">
      <c r="A8" s="540" t="s">
        <v>50</v>
      </c>
      <c r="B8" s="540"/>
      <c r="C8" s="540"/>
      <c r="D8" s="540"/>
      <c r="E8" s="540"/>
      <c r="F8" s="3"/>
    </row>
    <row r="9" spans="1:10" ht="31.5" x14ac:dyDescent="0.25">
      <c r="A9" s="109" t="s">
        <v>34</v>
      </c>
      <c r="B9" s="70" t="s">
        <v>9</v>
      </c>
      <c r="C9" s="71"/>
      <c r="D9" s="541" t="s">
        <v>10</v>
      </c>
      <c r="E9" s="542"/>
      <c r="F9" s="401" t="s">
        <v>9</v>
      </c>
    </row>
    <row r="10" spans="1:10" ht="15.75" x14ac:dyDescent="0.25">
      <c r="A10" s="109"/>
      <c r="B10" s="402"/>
      <c r="C10" s="402"/>
      <c r="D10" s="543" t="s">
        <v>216</v>
      </c>
      <c r="E10" s="544"/>
      <c r="F10" s="72">
        <v>1</v>
      </c>
    </row>
    <row r="11" spans="1:10" ht="15.75" x14ac:dyDescent="0.25">
      <c r="A11" s="70" t="s">
        <v>102</v>
      </c>
      <c r="B11" s="402">
        <v>1</v>
      </c>
      <c r="C11" s="402"/>
      <c r="D11" s="393" t="str">
        <f>'[1]2016'!$AE$25</f>
        <v>Водитель</v>
      </c>
      <c r="E11" s="394"/>
      <c r="F11" s="402">
        <v>1</v>
      </c>
    </row>
    <row r="12" spans="1:10" ht="26.45" customHeight="1" x14ac:dyDescent="0.25">
      <c r="A12" s="70" t="str">
        <f>'[1]2016'!$AE$19</f>
        <v>Специалист по работе с молодежью</v>
      </c>
      <c r="B12" s="402">
        <v>5.6</v>
      </c>
      <c r="C12" s="402"/>
      <c r="D12" s="545" t="s">
        <v>96</v>
      </c>
      <c r="E12" s="546"/>
      <c r="F12" s="402">
        <v>0.5</v>
      </c>
    </row>
    <row r="13" spans="1:10" ht="15.6" customHeight="1" x14ac:dyDescent="0.25">
      <c r="A13" s="70"/>
      <c r="B13" s="402"/>
      <c r="C13" s="402"/>
      <c r="D13" s="393" t="str">
        <f>'[1]2016'!$AE$26</f>
        <v xml:space="preserve">Уборщик служебных помещений </v>
      </c>
      <c r="E13" s="394"/>
      <c r="F13" s="402">
        <v>1</v>
      </c>
    </row>
    <row r="14" spans="1:10" ht="15.75" x14ac:dyDescent="0.25">
      <c r="A14" s="73" t="s">
        <v>61</v>
      </c>
      <c r="B14" s="74">
        <f>SUM(B10:B12)</f>
        <v>6.6</v>
      </c>
      <c r="C14" s="73"/>
      <c r="D14" s="547" t="s">
        <v>61</v>
      </c>
      <c r="E14" s="548"/>
      <c r="F14" s="74">
        <f>SUM(F10:F13)</f>
        <v>3.5</v>
      </c>
    </row>
    <row r="15" spans="1:10" x14ac:dyDescent="0.25">
      <c r="A15" s="41" t="str">
        <f>патриотика!A14</f>
        <v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v>
      </c>
    </row>
    <row r="16" spans="1:10" x14ac:dyDescent="0.25">
      <c r="A16" s="571" t="s">
        <v>206</v>
      </c>
      <c r="B16" s="571"/>
      <c r="C16" s="571"/>
      <c r="D16" s="571"/>
      <c r="E16" s="571"/>
      <c r="F16" s="571"/>
    </row>
    <row r="17" spans="1:10" x14ac:dyDescent="0.25">
      <c r="A17" s="42" t="s">
        <v>207</v>
      </c>
      <c r="B17" s="42"/>
      <c r="C17" s="42"/>
      <c r="D17" s="42"/>
    </row>
    <row r="18" spans="1:10" x14ac:dyDescent="0.25">
      <c r="A18" s="572" t="s">
        <v>47</v>
      </c>
      <c r="B18" s="572"/>
      <c r="C18" s="572"/>
      <c r="D18" s="572"/>
      <c r="E18" s="572"/>
      <c r="F18" s="572"/>
    </row>
    <row r="19" spans="1:10" x14ac:dyDescent="0.25">
      <c r="A19" s="567" t="s">
        <v>94</v>
      </c>
      <c r="B19" s="567"/>
      <c r="C19" s="390"/>
      <c r="D19" s="43">
        <v>0.33500000000000002</v>
      </c>
      <c r="E19" s="43"/>
    </row>
    <row r="20" spans="1:10" ht="15.6" customHeight="1" x14ac:dyDescent="0.25">
      <c r="A20" s="576" t="s">
        <v>0</v>
      </c>
      <c r="B20" s="576" t="s">
        <v>1</v>
      </c>
      <c r="C20" s="377"/>
      <c r="D20" s="576" t="s">
        <v>2</v>
      </c>
      <c r="E20" s="560" t="s">
        <v>3</v>
      </c>
      <c r="F20" s="561"/>
      <c r="G20" s="587" t="s">
        <v>35</v>
      </c>
      <c r="H20" s="377" t="s">
        <v>5</v>
      </c>
      <c r="I20" s="696" t="s">
        <v>606</v>
      </c>
      <c r="J20" s="576" t="s">
        <v>6</v>
      </c>
    </row>
    <row r="21" spans="1:10" ht="30" x14ac:dyDescent="0.25">
      <c r="A21" s="576"/>
      <c r="B21" s="576"/>
      <c r="C21" s="377"/>
      <c r="D21" s="576"/>
      <c r="E21" s="377" t="s">
        <v>208</v>
      </c>
      <c r="F21" s="377" t="s">
        <v>211</v>
      </c>
      <c r="G21" s="587"/>
      <c r="H21" s="377" t="s">
        <v>55</v>
      </c>
      <c r="I21" s="751"/>
      <c r="J21" s="576"/>
    </row>
    <row r="22" spans="1:10" ht="15.75" customHeight="1" x14ac:dyDescent="0.25">
      <c r="A22" s="576"/>
      <c r="B22" s="576"/>
      <c r="C22" s="377"/>
      <c r="D22" s="576"/>
      <c r="E22" s="377" t="s">
        <v>4</v>
      </c>
      <c r="F22" s="53"/>
      <c r="G22" s="587"/>
      <c r="H22" s="377" t="s">
        <v>209</v>
      </c>
      <c r="I22" s="751"/>
      <c r="J22" s="576"/>
    </row>
    <row r="23" spans="1:10" x14ac:dyDescent="0.25">
      <c r="A23" s="576">
        <v>1</v>
      </c>
      <c r="B23" s="576">
        <v>2</v>
      </c>
      <c r="C23" s="377"/>
      <c r="D23" s="576">
        <v>3</v>
      </c>
      <c r="E23" s="576" t="s">
        <v>210</v>
      </c>
      <c r="F23" s="576">
        <v>5</v>
      </c>
      <c r="G23" s="587" t="s">
        <v>7</v>
      </c>
      <c r="H23" s="377" t="s">
        <v>56</v>
      </c>
      <c r="I23" s="697"/>
      <c r="J23" s="576" t="s">
        <v>57</v>
      </c>
    </row>
    <row r="24" spans="1:10" x14ac:dyDescent="0.25">
      <c r="A24" s="576"/>
      <c r="B24" s="576"/>
      <c r="C24" s="377"/>
      <c r="D24" s="576"/>
      <c r="E24" s="576"/>
      <c r="F24" s="576"/>
      <c r="G24" s="587"/>
      <c r="H24" s="54">
        <v>1775.4</v>
      </c>
      <c r="I24" s="54"/>
      <c r="J24" s="576"/>
    </row>
    <row r="25" spans="1:10" ht="15.75" x14ac:dyDescent="0.25">
      <c r="A25" s="55" t="str">
        <f>патриотика!A24</f>
        <v>Методист</v>
      </c>
      <c r="B25" s="92">
        <v>53969.5</v>
      </c>
      <c r="C25" s="92"/>
      <c r="D25" s="377">
        <f>1*D19</f>
        <v>0.33500000000000002</v>
      </c>
      <c r="E25" s="56">
        <f>D25*1775.4</f>
        <v>594.75900000000001</v>
      </c>
      <c r="F25" s="57">
        <v>1</v>
      </c>
      <c r="G25" s="58">
        <f>E25/F25</f>
        <v>594.75900000000001</v>
      </c>
      <c r="H25" s="56">
        <f>B25*1.302/1775.4*12</f>
        <v>474.94619128083815</v>
      </c>
      <c r="I25" s="79">
        <v>1200.69</v>
      </c>
      <c r="J25" s="56">
        <f>G25*H25+I25</f>
        <v>283679.21178000001</v>
      </c>
    </row>
    <row r="26" spans="1:10" ht="15.75" x14ac:dyDescent="0.25">
      <c r="A26" s="136" t="str">
        <f>A12</f>
        <v>Специалист по работе с молодежью</v>
      </c>
      <c r="B26" s="186">
        <v>38488.199999999997</v>
      </c>
      <c r="C26" s="186"/>
      <c r="D26" s="377">
        <f>D19*5.6</f>
        <v>1.8759999999999999</v>
      </c>
      <c r="E26" s="56">
        <f>D26*1775.4</f>
        <v>3330.6504</v>
      </c>
      <c r="F26" s="57">
        <v>1</v>
      </c>
      <c r="G26" s="58">
        <f>E26/F26</f>
        <v>3330.6504</v>
      </c>
      <c r="H26" s="56">
        <f>B26*1.302/1775.4*12</f>
        <v>338.70656573166605</v>
      </c>
      <c r="I26" s="79">
        <v>6723.88</v>
      </c>
      <c r="J26" s="56">
        <f>G26*H26+10277.88-402+I26</f>
        <v>1144712.9186367996</v>
      </c>
    </row>
    <row r="27" spans="1:10" x14ac:dyDescent="0.25">
      <c r="A27" s="55" t="s">
        <v>8</v>
      </c>
      <c r="B27" s="58"/>
      <c r="C27" s="58"/>
      <c r="D27" s="377">
        <f>SUM(D25:D26)</f>
        <v>2.2109999999999999</v>
      </c>
      <c r="E27" s="56"/>
      <c r="F27" s="57"/>
      <c r="G27" s="187"/>
      <c r="H27" s="93"/>
      <c r="I27" s="93"/>
      <c r="J27" s="422">
        <f>SUM(J25:J26)</f>
        <v>1428392.1304167996</v>
      </c>
    </row>
    <row r="28" spans="1:10" x14ac:dyDescent="0.25">
      <c r="A28" s="158"/>
      <c r="B28" s="159"/>
      <c r="C28" s="159"/>
      <c r="D28" s="376"/>
      <c r="E28" s="160"/>
      <c r="F28" s="161"/>
      <c r="G28" s="188"/>
      <c r="H28" s="189"/>
      <c r="I28" s="190"/>
    </row>
    <row r="29" spans="1:10" ht="14.45" hidden="1" customHeight="1" x14ac:dyDescent="0.25">
      <c r="A29" s="588" t="s">
        <v>178</v>
      </c>
      <c r="B29" s="588"/>
      <c r="C29" s="588"/>
      <c r="D29" s="588"/>
      <c r="E29" s="588"/>
      <c r="F29" s="588"/>
      <c r="G29" s="588"/>
      <c r="H29" s="588"/>
      <c r="I29" s="163"/>
      <c r="J29" s="163"/>
    </row>
    <row r="30" spans="1:10" hidden="1" x14ac:dyDescent="0.25">
      <c r="A30" s="550" t="s">
        <v>65</v>
      </c>
      <c r="B30" s="555" t="s">
        <v>167</v>
      </c>
      <c r="C30" s="555"/>
      <c r="D30" s="555" t="s">
        <v>168</v>
      </c>
      <c r="E30" s="555"/>
      <c r="F30" s="555"/>
      <c r="G30" s="556"/>
      <c r="H30" s="556"/>
    </row>
    <row r="31" spans="1:10" hidden="1" x14ac:dyDescent="0.25">
      <c r="A31" s="554"/>
      <c r="B31" s="555"/>
      <c r="C31" s="555"/>
      <c r="D31" s="555" t="s">
        <v>169</v>
      </c>
      <c r="E31" s="550" t="s">
        <v>170</v>
      </c>
      <c r="F31" s="557" t="s">
        <v>171</v>
      </c>
      <c r="G31" s="550" t="s">
        <v>177</v>
      </c>
      <c r="H31" s="550" t="s">
        <v>6</v>
      </c>
    </row>
    <row r="32" spans="1:10" hidden="1" x14ac:dyDescent="0.25">
      <c r="A32" s="551"/>
      <c r="B32" s="555"/>
      <c r="C32" s="555"/>
      <c r="D32" s="555"/>
      <c r="E32" s="551"/>
      <c r="F32" s="557"/>
      <c r="G32" s="551"/>
      <c r="H32" s="551"/>
    </row>
    <row r="33" spans="1:10" hidden="1" x14ac:dyDescent="0.25">
      <c r="A33" s="386">
        <v>1</v>
      </c>
      <c r="B33" s="552">
        <v>2</v>
      </c>
      <c r="C33" s="553"/>
      <c r="D33" s="386">
        <v>3</v>
      </c>
      <c r="E33" s="386">
        <v>4</v>
      </c>
      <c r="F33" s="386">
        <v>5</v>
      </c>
      <c r="G33" s="191">
        <v>6</v>
      </c>
      <c r="H33" s="191">
        <v>7</v>
      </c>
    </row>
    <row r="34" spans="1:10" hidden="1" x14ac:dyDescent="0.25">
      <c r="A34" s="382" t="s">
        <v>102</v>
      </c>
      <c r="B34" s="382">
        <v>0.36699999999999999</v>
      </c>
      <c r="C34" s="383">
        <v>1</v>
      </c>
      <c r="D34" s="162">
        <v>2074.6</v>
      </c>
      <c r="E34" s="121">
        <f t="shared" ref="E34:E35" si="0">D34*12</f>
        <v>24895.199999999997</v>
      </c>
      <c r="F34" s="162">
        <f>18363.9*0.367</f>
        <v>6739.5513000000001</v>
      </c>
      <c r="G34" s="192">
        <f>F34*30.2%</f>
        <v>2035.3444926</v>
      </c>
      <c r="H34" s="192">
        <f>F34+G34</f>
        <v>8774.8957926000003</v>
      </c>
    </row>
    <row r="35" spans="1:10" hidden="1" x14ac:dyDescent="0.25">
      <c r="A35" s="382" t="s">
        <v>173</v>
      </c>
      <c r="B35" s="552">
        <f>5.6*0.367</f>
        <v>2.0551999999999997</v>
      </c>
      <c r="C35" s="553"/>
      <c r="D35" s="162">
        <f>1302.85*B35</f>
        <v>2677.6173199999994</v>
      </c>
      <c r="E35" s="121">
        <f t="shared" si="0"/>
        <v>32131.407839999993</v>
      </c>
      <c r="F35" s="162">
        <f>64311.87*0.367</f>
        <v>23602.456290000002</v>
      </c>
      <c r="G35" s="192">
        <f>F35*30.2%</f>
        <v>7127.9417995800004</v>
      </c>
      <c r="H35" s="192">
        <f>F35+G35</f>
        <v>30730.398089580001</v>
      </c>
    </row>
    <row r="36" spans="1:10" hidden="1" x14ac:dyDescent="0.25">
      <c r="A36" s="387"/>
      <c r="B36" s="549">
        <f>SUM(B34:C35)</f>
        <v>3.4221999999999997</v>
      </c>
      <c r="C36" s="549"/>
      <c r="D36" s="138">
        <f>SUM(D34:D35)</f>
        <v>4752.2173199999997</v>
      </c>
      <c r="E36" s="138">
        <f>SUM(E34:E35)</f>
        <v>57026.60783999999</v>
      </c>
      <c r="F36" s="138">
        <f>SUM(F34:F35)</f>
        <v>30342.007590000001</v>
      </c>
      <c r="G36" s="138">
        <f>SUM(G34:G35)</f>
        <v>9163.2862921800006</v>
      </c>
      <c r="H36" s="138"/>
    </row>
    <row r="37" spans="1:10" hidden="1" x14ac:dyDescent="0.25">
      <c r="A37" s="158"/>
      <c r="B37" s="159"/>
      <c r="C37" s="159"/>
      <c r="D37" s="376"/>
      <c r="E37" s="160"/>
      <c r="F37" s="161"/>
      <c r="G37" s="188"/>
      <c r="H37" s="189"/>
      <c r="I37" s="190"/>
    </row>
    <row r="38" spans="1:10" ht="14.45" hidden="1" customHeight="1" x14ac:dyDescent="0.25">
      <c r="A38" s="588" t="s">
        <v>182</v>
      </c>
      <c r="B38" s="588"/>
      <c r="C38" s="588"/>
      <c r="D38" s="588"/>
      <c r="E38" s="588"/>
      <c r="F38" s="588"/>
      <c r="G38" s="588"/>
      <c r="H38" s="588"/>
      <c r="I38" s="163"/>
      <c r="J38" s="163"/>
    </row>
    <row r="39" spans="1:10" ht="28.9" hidden="1" customHeight="1" x14ac:dyDescent="0.25">
      <c r="A39" s="550" t="s">
        <v>65</v>
      </c>
      <c r="B39" s="555" t="s">
        <v>167</v>
      </c>
      <c r="C39" s="555"/>
      <c r="D39" s="579" t="s">
        <v>168</v>
      </c>
      <c r="E39" s="580"/>
      <c r="F39" s="388"/>
      <c r="G39" s="38"/>
    </row>
    <row r="40" spans="1:10" ht="14.45" hidden="1" customHeight="1" x14ac:dyDescent="0.25">
      <c r="A40" s="554"/>
      <c r="B40" s="555"/>
      <c r="C40" s="555"/>
      <c r="D40" s="555" t="s">
        <v>169</v>
      </c>
      <c r="E40" s="550" t="s">
        <v>177</v>
      </c>
      <c r="F40" s="550" t="s">
        <v>181</v>
      </c>
      <c r="G40" s="38"/>
    </row>
    <row r="41" spans="1:10" hidden="1" x14ac:dyDescent="0.25">
      <c r="A41" s="551"/>
      <c r="B41" s="555"/>
      <c r="C41" s="555"/>
      <c r="D41" s="555"/>
      <c r="E41" s="551"/>
      <c r="F41" s="551"/>
      <c r="G41" s="38"/>
    </row>
    <row r="42" spans="1:10" hidden="1" x14ac:dyDescent="0.25">
      <c r="A42" s="386">
        <v>1</v>
      </c>
      <c r="B42" s="552">
        <v>2</v>
      </c>
      <c r="C42" s="553"/>
      <c r="D42" s="386">
        <v>3</v>
      </c>
      <c r="E42" s="191">
        <v>6</v>
      </c>
      <c r="F42" s="191">
        <v>7</v>
      </c>
      <c r="G42" s="38"/>
    </row>
    <row r="43" spans="1:10" hidden="1" x14ac:dyDescent="0.25">
      <c r="A43" s="382" t="s">
        <v>173</v>
      </c>
      <c r="B43" s="552">
        <f>5.6*0.367</f>
        <v>2.0551999999999997</v>
      </c>
      <c r="C43" s="553"/>
      <c r="D43" s="162">
        <v>4218.1400000000003</v>
      </c>
      <c r="E43" s="192">
        <f>D43*30.2%</f>
        <v>1273.8782800000001</v>
      </c>
      <c r="F43" s="192">
        <f>(E43+D43)*B43*12+0.64</f>
        <v>135446.991628672</v>
      </c>
      <c r="G43" s="38"/>
    </row>
    <row r="44" spans="1:10" hidden="1" x14ac:dyDescent="0.25">
      <c r="A44" s="387"/>
      <c r="B44" s="549">
        <f>SUM(B43:C43)</f>
        <v>2.0551999999999997</v>
      </c>
      <c r="C44" s="549"/>
      <c r="D44" s="138">
        <f>SUM(D43:D43)</f>
        <v>4218.1400000000003</v>
      </c>
      <c r="E44" s="138">
        <f>SUM(E43:E43)</f>
        <v>1273.8782800000001</v>
      </c>
      <c r="F44" s="138"/>
      <c r="G44" s="38"/>
    </row>
    <row r="45" spans="1:10" x14ac:dyDescent="0.25">
      <c r="A45" s="158"/>
      <c r="B45" s="159"/>
      <c r="C45" s="159"/>
      <c r="D45" s="376"/>
      <c r="E45" s="160"/>
      <c r="F45" s="161"/>
      <c r="G45" s="188"/>
      <c r="H45" s="189"/>
      <c r="I45" s="190"/>
    </row>
    <row r="46" spans="1:10" x14ac:dyDescent="0.25">
      <c r="A46" s="158"/>
      <c r="B46" s="159"/>
      <c r="C46" s="159"/>
      <c r="D46" s="376"/>
      <c r="E46" s="160"/>
      <c r="F46" s="161"/>
      <c r="G46" s="188"/>
      <c r="H46" s="189"/>
      <c r="I46" s="190"/>
    </row>
    <row r="47" spans="1:10" x14ac:dyDescent="0.25">
      <c r="A47" s="575" t="s">
        <v>63</v>
      </c>
      <c r="B47" s="575"/>
      <c r="C47" s="575"/>
      <c r="D47" s="575"/>
      <c r="E47" s="575"/>
      <c r="F47" s="575"/>
      <c r="J47" s="193">
        <f>J27</f>
        <v>1428392.1304167996</v>
      </c>
    </row>
    <row r="48" spans="1:10" x14ac:dyDescent="0.25">
      <c r="A48" s="392" t="s">
        <v>88</v>
      </c>
      <c r="B48" s="44" t="s">
        <v>232</v>
      </c>
      <c r="C48" s="44"/>
      <c r="D48" s="44"/>
      <c r="E48" s="45"/>
      <c r="F48" s="45"/>
      <c r="J48" s="39">
        <f>H98</f>
        <v>706658.8291300002</v>
      </c>
    </row>
    <row r="49" spans="1:11" x14ac:dyDescent="0.25">
      <c r="D49" s="46">
        <f>D19</f>
        <v>0.33500000000000002</v>
      </c>
      <c r="J49" s="39">
        <f>J47+J48</f>
        <v>2135050.9595467998</v>
      </c>
      <c r="K49" s="38" t="s">
        <v>113</v>
      </c>
    </row>
    <row r="50" spans="1:11" x14ac:dyDescent="0.25">
      <c r="A50" s="576" t="s">
        <v>27</v>
      </c>
      <c r="B50" s="576"/>
      <c r="C50" s="377"/>
      <c r="D50" s="576" t="s">
        <v>11</v>
      </c>
      <c r="E50" s="577" t="s">
        <v>51</v>
      </c>
      <c r="F50" s="577" t="s">
        <v>15</v>
      </c>
      <c r="G50" s="558" t="s">
        <v>6</v>
      </c>
      <c r="J50" s="39">
        <f>2123325.98-402+12126.98</f>
        <v>2135050.96</v>
      </c>
      <c r="K50" s="38" t="s">
        <v>114</v>
      </c>
    </row>
    <row r="51" spans="1:11" hidden="1" x14ac:dyDescent="0.25">
      <c r="A51" s="576"/>
      <c r="B51" s="576"/>
      <c r="C51" s="377"/>
      <c r="D51" s="576"/>
      <c r="E51" s="578"/>
      <c r="F51" s="578"/>
      <c r="G51" s="559"/>
    </row>
    <row r="52" spans="1:11" x14ac:dyDescent="0.25">
      <c r="A52" s="560">
        <v>1</v>
      </c>
      <c r="B52" s="561"/>
      <c r="C52" s="378"/>
      <c r="D52" s="377">
        <v>2</v>
      </c>
      <c r="E52" s="57">
        <v>3</v>
      </c>
      <c r="F52" s="377">
        <v>4</v>
      </c>
      <c r="G52" s="59" t="s">
        <v>73</v>
      </c>
      <c r="J52" s="39">
        <f>J50-J49</f>
        <v>4.5320019125938416E-4</v>
      </c>
    </row>
    <row r="53" spans="1:11" x14ac:dyDescent="0.25">
      <c r="A53" s="382" t="s">
        <v>227</v>
      </c>
      <c r="B53" s="396"/>
      <c r="C53" s="396"/>
      <c r="D53" s="386" t="s">
        <v>231</v>
      </c>
      <c r="E53" s="386">
        <f>D49</f>
        <v>0.33500000000000002</v>
      </c>
      <c r="F53" s="385">
        <v>13500</v>
      </c>
      <c r="G53" s="59">
        <f>E53*F53</f>
        <v>4522.5</v>
      </c>
    </row>
    <row r="54" spans="1:11" x14ac:dyDescent="0.25">
      <c r="A54" s="382" t="s">
        <v>228</v>
      </c>
      <c r="B54" s="396"/>
      <c r="C54" s="396"/>
      <c r="D54" s="386" t="s">
        <v>39</v>
      </c>
      <c r="E54" s="386">
        <v>0.33500000000000002</v>
      </c>
      <c r="F54" s="385">
        <v>60000</v>
      </c>
      <c r="G54" s="59">
        <f>E54*F54</f>
        <v>20100</v>
      </c>
    </row>
    <row r="55" spans="1:11" x14ac:dyDescent="0.25">
      <c r="A55" s="382" t="s">
        <v>229</v>
      </c>
      <c r="B55" s="396"/>
      <c r="C55" s="396"/>
      <c r="D55" s="386" t="s">
        <v>231</v>
      </c>
      <c r="E55" s="386">
        <v>0.33500000000000002</v>
      </c>
      <c r="F55" s="58">
        <v>7499.98</v>
      </c>
      <c r="G55" s="59">
        <f>E55*F55</f>
        <v>2512.4933000000001</v>
      </c>
    </row>
    <row r="56" spans="1:11" x14ac:dyDescent="0.25">
      <c r="A56" s="382" t="s">
        <v>230</v>
      </c>
      <c r="B56" s="396"/>
      <c r="C56" s="396"/>
      <c r="D56" s="386" t="s">
        <v>231</v>
      </c>
      <c r="E56" s="386">
        <v>0.33500000000000002</v>
      </c>
      <c r="F56" s="58">
        <v>3375</v>
      </c>
      <c r="G56" s="59">
        <f>E56*F56</f>
        <v>1130.625</v>
      </c>
    </row>
    <row r="57" spans="1:11" x14ac:dyDescent="0.25">
      <c r="A57" s="573" t="s">
        <v>62</v>
      </c>
      <c r="B57" s="574"/>
      <c r="C57" s="373"/>
      <c r="D57" s="60"/>
      <c r="E57" s="60"/>
      <c r="F57" s="60"/>
      <c r="G57" s="407">
        <f>SUM(G53:G56)</f>
        <v>28265.618300000002</v>
      </c>
    </row>
    <row r="58" spans="1:11" x14ac:dyDescent="0.25">
      <c r="A58" s="61"/>
      <c r="B58" s="61"/>
      <c r="C58" s="61"/>
      <c r="D58" s="62"/>
      <c r="E58" s="62"/>
      <c r="F58" s="62"/>
      <c r="G58" s="63"/>
    </row>
    <row r="59" spans="1:11" x14ac:dyDescent="0.25">
      <c r="A59" s="575" t="s">
        <v>89</v>
      </c>
      <c r="B59" s="575"/>
      <c r="C59" s="575"/>
      <c r="D59" s="575"/>
      <c r="E59" s="575"/>
      <c r="F59" s="575"/>
    </row>
    <row r="60" spans="1:11" ht="14.45" customHeight="1" x14ac:dyDescent="0.25">
      <c r="D60" s="46"/>
      <c r="F60" s="38">
        <v>1</v>
      </c>
    </row>
    <row r="61" spans="1:11" x14ac:dyDescent="0.25">
      <c r="A61" s="576" t="s">
        <v>132</v>
      </c>
      <c r="B61" s="576"/>
      <c r="C61" s="377"/>
      <c r="D61" s="576" t="s">
        <v>11</v>
      </c>
      <c r="E61" s="577" t="s">
        <v>51</v>
      </c>
      <c r="F61" s="577" t="s">
        <v>15</v>
      </c>
      <c r="G61" s="558" t="s">
        <v>6</v>
      </c>
    </row>
    <row r="62" spans="1:11" ht="15" hidden="1" customHeight="1" x14ac:dyDescent="0.25">
      <c r="A62" s="576"/>
      <c r="B62" s="576"/>
      <c r="C62" s="377"/>
      <c r="D62" s="576"/>
      <c r="E62" s="578"/>
      <c r="F62" s="578"/>
      <c r="G62" s="559"/>
    </row>
    <row r="63" spans="1:11" x14ac:dyDescent="0.25">
      <c r="A63" s="562">
        <v>1</v>
      </c>
      <c r="B63" s="563"/>
      <c r="C63" s="378"/>
      <c r="D63" s="377">
        <v>2</v>
      </c>
      <c r="E63" s="377">
        <v>3</v>
      </c>
      <c r="F63" s="377">
        <v>4</v>
      </c>
      <c r="G63" s="59" t="s">
        <v>73</v>
      </c>
    </row>
    <row r="64" spans="1:11" x14ac:dyDescent="0.25">
      <c r="A64" s="414" t="s">
        <v>219</v>
      </c>
      <c r="B64" s="418"/>
      <c r="C64" s="418"/>
      <c r="D64" s="419"/>
      <c r="E64" s="386"/>
      <c r="F64" s="121"/>
      <c r="G64" s="59"/>
    </row>
    <row r="65" spans="1:7" x14ac:dyDescent="0.25">
      <c r="A65" s="382" t="s">
        <v>220</v>
      </c>
      <c r="B65" s="346"/>
      <c r="C65" s="346"/>
      <c r="D65" s="205" t="s">
        <v>135</v>
      </c>
      <c r="E65" s="386">
        <v>5</v>
      </c>
      <c r="F65" s="121">
        <v>1343.6</v>
      </c>
      <c r="G65" s="59">
        <f t="shared" ref="G65:G86" si="1">E65*F65</f>
        <v>6718</v>
      </c>
    </row>
    <row r="66" spans="1:7" x14ac:dyDescent="0.25">
      <c r="A66" s="266" t="s">
        <v>221</v>
      </c>
      <c r="B66" s="166"/>
      <c r="C66" s="166"/>
      <c r="D66" s="386" t="s">
        <v>135</v>
      </c>
      <c r="E66" s="386">
        <v>5</v>
      </c>
      <c r="F66" s="121">
        <v>1800</v>
      </c>
      <c r="G66" s="59">
        <f t="shared" si="1"/>
        <v>9000</v>
      </c>
    </row>
    <row r="67" spans="1:7" x14ac:dyDescent="0.25">
      <c r="A67" s="289" t="s">
        <v>550</v>
      </c>
      <c r="B67" s="347"/>
      <c r="C67" s="347"/>
      <c r="D67" s="99"/>
      <c r="E67" s="386"/>
      <c r="F67" s="121"/>
      <c r="G67" s="59">
        <f t="shared" si="1"/>
        <v>0</v>
      </c>
    </row>
    <row r="68" spans="1:7" x14ac:dyDescent="0.25">
      <c r="A68" s="415" t="s">
        <v>222</v>
      </c>
      <c r="B68" s="347"/>
      <c r="C68" s="347"/>
      <c r="D68" s="99"/>
      <c r="E68" s="387"/>
      <c r="F68" s="292"/>
      <c r="G68" s="59">
        <f t="shared" si="1"/>
        <v>0</v>
      </c>
    </row>
    <row r="69" spans="1:7" x14ac:dyDescent="0.25">
      <c r="A69" s="98" t="s">
        <v>494</v>
      </c>
      <c r="B69" s="347"/>
      <c r="C69" s="347"/>
      <c r="D69" s="99" t="s">
        <v>91</v>
      </c>
      <c r="E69" s="105">
        <v>10</v>
      </c>
      <c r="F69" s="105">
        <v>1300</v>
      </c>
      <c r="G69" s="59">
        <f t="shared" si="1"/>
        <v>13000</v>
      </c>
    </row>
    <row r="70" spans="1:7" x14ac:dyDescent="0.25">
      <c r="A70" s="98" t="s">
        <v>495</v>
      </c>
      <c r="B70" s="347"/>
      <c r="C70" s="347"/>
      <c r="D70" s="99" t="s">
        <v>91</v>
      </c>
      <c r="E70" s="105">
        <v>6</v>
      </c>
      <c r="F70" s="105">
        <v>1900</v>
      </c>
      <c r="G70" s="59">
        <f t="shared" si="1"/>
        <v>11400</v>
      </c>
    </row>
    <row r="71" spans="1:7" x14ac:dyDescent="0.25">
      <c r="A71" s="98" t="s">
        <v>496</v>
      </c>
      <c r="B71" s="347"/>
      <c r="C71" s="347"/>
      <c r="D71" s="99" t="s">
        <v>91</v>
      </c>
      <c r="E71" s="105">
        <v>1</v>
      </c>
      <c r="F71" s="105">
        <v>4800</v>
      </c>
      <c r="G71" s="59">
        <f t="shared" si="1"/>
        <v>4800</v>
      </c>
    </row>
    <row r="72" spans="1:7" x14ac:dyDescent="0.25">
      <c r="A72" s="264" t="s">
        <v>497</v>
      </c>
      <c r="B72" s="346"/>
      <c r="C72" s="346"/>
      <c r="D72" s="205" t="s">
        <v>91</v>
      </c>
      <c r="E72" s="386">
        <v>2</v>
      </c>
      <c r="F72" s="121">
        <v>2400</v>
      </c>
      <c r="G72" s="59">
        <f t="shared" si="1"/>
        <v>4800</v>
      </c>
    </row>
    <row r="73" spans="1:7" x14ac:dyDescent="0.25">
      <c r="A73" s="266" t="s">
        <v>498</v>
      </c>
      <c r="B73" s="346"/>
      <c r="C73" s="346"/>
      <c r="D73" s="205" t="s">
        <v>91</v>
      </c>
      <c r="E73" s="386">
        <v>3</v>
      </c>
      <c r="F73" s="121">
        <v>2800</v>
      </c>
      <c r="G73" s="59">
        <f t="shared" si="1"/>
        <v>8400</v>
      </c>
    </row>
    <row r="74" spans="1:7" x14ac:dyDescent="0.25">
      <c r="A74" s="266" t="s">
        <v>499</v>
      </c>
      <c r="B74" s="346"/>
      <c r="C74" s="346"/>
      <c r="D74" s="205" t="s">
        <v>91</v>
      </c>
      <c r="E74" s="386">
        <v>5</v>
      </c>
      <c r="F74" s="121">
        <v>2500</v>
      </c>
      <c r="G74" s="59">
        <f t="shared" si="1"/>
        <v>12500</v>
      </c>
    </row>
    <row r="75" spans="1:7" x14ac:dyDescent="0.25">
      <c r="A75" s="266" t="s">
        <v>500</v>
      </c>
      <c r="B75" s="346"/>
      <c r="C75" s="346"/>
      <c r="D75" s="205" t="s">
        <v>91</v>
      </c>
      <c r="E75" s="386">
        <v>1</v>
      </c>
      <c r="F75" s="121">
        <v>2800</v>
      </c>
      <c r="G75" s="59">
        <f t="shared" si="1"/>
        <v>2800</v>
      </c>
    </row>
    <row r="76" spans="1:7" x14ac:dyDescent="0.25">
      <c r="A76" s="266" t="s">
        <v>501</v>
      </c>
      <c r="B76" s="265"/>
      <c r="C76" s="265"/>
      <c r="D76" s="348" t="s">
        <v>91</v>
      </c>
      <c r="E76" s="386">
        <v>22</v>
      </c>
      <c r="F76" s="121">
        <v>300</v>
      </c>
      <c r="G76" s="59">
        <f t="shared" si="1"/>
        <v>6600</v>
      </c>
    </row>
    <row r="77" spans="1:7" ht="18" customHeight="1" x14ac:dyDescent="0.25">
      <c r="A77" s="264" t="s">
        <v>502</v>
      </c>
      <c r="B77" s="265"/>
      <c r="C77" s="265"/>
      <c r="D77" s="348" t="s">
        <v>91</v>
      </c>
      <c r="E77" s="386">
        <v>3</v>
      </c>
      <c r="F77" s="121">
        <v>2800</v>
      </c>
      <c r="G77" s="59">
        <f t="shared" si="1"/>
        <v>8400</v>
      </c>
    </row>
    <row r="78" spans="1:7" x14ac:dyDescent="0.25">
      <c r="A78" s="264" t="s">
        <v>503</v>
      </c>
      <c r="B78" s="420"/>
      <c r="C78" s="420"/>
      <c r="D78" s="205" t="s">
        <v>91</v>
      </c>
      <c r="E78" s="386">
        <v>3</v>
      </c>
      <c r="F78" s="121">
        <v>2000</v>
      </c>
      <c r="G78" s="59">
        <f t="shared" si="1"/>
        <v>6000</v>
      </c>
    </row>
    <row r="79" spans="1:7" x14ac:dyDescent="0.25">
      <c r="A79" s="289" t="s">
        <v>224</v>
      </c>
      <c r="B79" s="346"/>
      <c r="C79" s="346"/>
      <c r="D79" s="205"/>
      <c r="E79" s="416"/>
      <c r="F79" s="417"/>
      <c r="G79" s="59">
        <f t="shared" si="1"/>
        <v>0</v>
      </c>
    </row>
    <row r="80" spans="1:7" x14ac:dyDescent="0.25">
      <c r="A80" s="266" t="s">
        <v>504</v>
      </c>
      <c r="B80" s="346"/>
      <c r="C80" s="346"/>
      <c r="D80" s="205" t="s">
        <v>91</v>
      </c>
      <c r="E80" s="386">
        <v>50</v>
      </c>
      <c r="F80" s="121">
        <v>200</v>
      </c>
      <c r="G80" s="59">
        <f t="shared" si="1"/>
        <v>10000</v>
      </c>
    </row>
    <row r="81" spans="1:8" x14ac:dyDescent="0.25">
      <c r="A81" s="266" t="s">
        <v>505</v>
      </c>
      <c r="B81" s="346"/>
      <c r="C81" s="346"/>
      <c r="D81" s="205" t="s">
        <v>91</v>
      </c>
      <c r="E81" s="386">
        <v>200</v>
      </c>
      <c r="F81" s="121">
        <v>70</v>
      </c>
      <c r="G81" s="59">
        <f t="shared" si="1"/>
        <v>14000</v>
      </c>
    </row>
    <row r="82" spans="1:8" ht="14.45" customHeight="1" x14ac:dyDescent="0.25">
      <c r="A82" s="266" t="s">
        <v>506</v>
      </c>
      <c r="B82" s="420"/>
      <c r="C82" s="420"/>
      <c r="D82" s="205" t="s">
        <v>91</v>
      </c>
      <c r="E82" s="386">
        <v>200</v>
      </c>
      <c r="F82" s="121">
        <v>62.5</v>
      </c>
      <c r="G82" s="59">
        <f t="shared" si="1"/>
        <v>12500</v>
      </c>
    </row>
    <row r="83" spans="1:8" x14ac:dyDescent="0.25">
      <c r="A83" s="289" t="s">
        <v>225</v>
      </c>
      <c r="B83" s="346"/>
      <c r="C83" s="346"/>
      <c r="D83" s="205"/>
      <c r="E83" s="387"/>
      <c r="F83" s="292"/>
      <c r="G83" s="59">
        <f t="shared" si="1"/>
        <v>0</v>
      </c>
    </row>
    <row r="84" spans="1:8" x14ac:dyDescent="0.25">
      <c r="A84" s="266" t="s">
        <v>197</v>
      </c>
      <c r="B84" s="420"/>
      <c r="C84" s="420"/>
      <c r="D84" s="205" t="s">
        <v>91</v>
      </c>
      <c r="E84" s="386">
        <v>90</v>
      </c>
      <c r="F84" s="121">
        <v>150</v>
      </c>
      <c r="G84" s="59">
        <f t="shared" si="1"/>
        <v>13500</v>
      </c>
    </row>
    <row r="85" spans="1:8" x14ac:dyDescent="0.25">
      <c r="A85" s="289" t="s">
        <v>507</v>
      </c>
      <c r="B85" s="346"/>
      <c r="C85" s="346"/>
      <c r="D85" s="205"/>
      <c r="E85" s="387"/>
      <c r="F85" s="292"/>
      <c r="G85" s="59">
        <f t="shared" si="1"/>
        <v>0</v>
      </c>
    </row>
    <row r="86" spans="1:8" x14ac:dyDescent="0.25">
      <c r="A86" s="266" t="s">
        <v>508</v>
      </c>
      <c r="B86" s="346"/>
      <c r="C86" s="346"/>
      <c r="D86" s="205" t="s">
        <v>91</v>
      </c>
      <c r="E86" s="386">
        <v>2</v>
      </c>
      <c r="F86" s="121">
        <v>1291</v>
      </c>
      <c r="G86" s="59">
        <f t="shared" si="1"/>
        <v>2582</v>
      </c>
    </row>
    <row r="87" spans="1:8" x14ac:dyDescent="0.25">
      <c r="A87" s="266"/>
      <c r="B87" s="413"/>
      <c r="C87" s="375"/>
      <c r="D87" s="60"/>
      <c r="E87" s="386"/>
      <c r="F87" s="121"/>
      <c r="G87" s="407">
        <f>SUM(G65:G86)</f>
        <v>147000</v>
      </c>
    </row>
    <row r="88" spans="1:8" x14ac:dyDescent="0.25">
      <c r="E88" s="39"/>
    </row>
    <row r="89" spans="1:8" ht="47.25" customHeight="1" x14ac:dyDescent="0.25">
      <c r="A89" s="581" t="str">
        <f>патриотика!A91</f>
        <v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v>
      </c>
      <c r="B89" s="581"/>
      <c r="C89" s="581"/>
      <c r="D89" s="581"/>
      <c r="E89" s="581"/>
      <c r="F89" s="581"/>
    </row>
    <row r="90" spans="1:8" x14ac:dyDescent="0.25">
      <c r="A90" s="47"/>
      <c r="B90" s="47"/>
      <c r="C90" s="47"/>
      <c r="D90" s="47"/>
      <c r="E90" s="47"/>
      <c r="F90" s="48">
        <f>D49</f>
        <v>0.33500000000000002</v>
      </c>
    </row>
    <row r="91" spans="1:8" ht="30" x14ac:dyDescent="0.25">
      <c r="A91" s="564" t="s">
        <v>0</v>
      </c>
      <c r="B91" s="565"/>
      <c r="C91" s="381"/>
      <c r="D91" s="381" t="s">
        <v>1</v>
      </c>
      <c r="E91" s="381" t="s">
        <v>2</v>
      </c>
      <c r="F91" s="381" t="s">
        <v>43</v>
      </c>
      <c r="G91" s="709" t="s">
        <v>606</v>
      </c>
      <c r="H91" s="385" t="s">
        <v>6</v>
      </c>
    </row>
    <row r="92" spans="1:8" x14ac:dyDescent="0.25">
      <c r="A92" s="564">
        <v>1</v>
      </c>
      <c r="B92" s="565"/>
      <c r="C92" s="381"/>
      <c r="D92" s="381">
        <v>2</v>
      </c>
      <c r="E92" s="381">
        <v>3</v>
      </c>
      <c r="F92" s="381" t="s">
        <v>41</v>
      </c>
      <c r="G92" s="710"/>
      <c r="H92" s="385" t="s">
        <v>42</v>
      </c>
    </row>
    <row r="93" spans="1:8" ht="15.75" x14ac:dyDescent="0.25">
      <c r="A93" s="584" t="s">
        <v>216</v>
      </c>
      <c r="B93" s="585"/>
      <c r="C93" s="403"/>
      <c r="D93" s="64">
        <v>70153.25</v>
      </c>
      <c r="E93" s="405">
        <f>1*F90</f>
        <v>0.33500000000000002</v>
      </c>
      <c r="F93" s="65">
        <f>D93*E93</f>
        <v>23501.338750000003</v>
      </c>
      <c r="G93" s="479">
        <v>1200.69</v>
      </c>
      <c r="H93" s="385">
        <f>F93*12*1.302-688.44+G93</f>
        <v>367697.16663000011</v>
      </c>
    </row>
    <row r="94" spans="1:8" ht="15.75" x14ac:dyDescent="0.25">
      <c r="A94" s="582" t="s">
        <v>153</v>
      </c>
      <c r="B94" s="583"/>
      <c r="C94" s="389"/>
      <c r="D94" s="64">
        <v>25675</v>
      </c>
      <c r="E94" s="381">
        <f>1*F90</f>
        <v>0.33500000000000002</v>
      </c>
      <c r="F94" s="65">
        <f>D94*E94</f>
        <v>8601.125</v>
      </c>
      <c r="G94" s="79">
        <v>1200.69</v>
      </c>
      <c r="H94" s="385">
        <f>F94*12*1.302+G94</f>
        <v>135584.66700000002</v>
      </c>
    </row>
    <row r="95" spans="1:8" ht="15.75" x14ac:dyDescent="0.25">
      <c r="A95" s="582" t="s">
        <v>96</v>
      </c>
      <c r="B95" s="583"/>
      <c r="C95" s="389"/>
      <c r="D95" s="64">
        <v>25675</v>
      </c>
      <c r="E95" s="381">
        <f>1*F90/2</f>
        <v>0.16750000000000001</v>
      </c>
      <c r="F95" s="65">
        <f>D95*E95</f>
        <v>4300.5625</v>
      </c>
      <c r="G95" s="79">
        <v>1200.69</v>
      </c>
      <c r="H95" s="385">
        <f>F95*12*1.302+G95</f>
        <v>68392.678500000009</v>
      </c>
    </row>
    <row r="96" spans="1:8" ht="15.75" x14ac:dyDescent="0.25">
      <c r="A96" s="586" t="s">
        <v>154</v>
      </c>
      <c r="B96" s="586"/>
      <c r="C96" s="389"/>
      <c r="D96" s="64">
        <v>25675</v>
      </c>
      <c r="E96" s="381">
        <f>1*F90</f>
        <v>0.33500000000000002</v>
      </c>
      <c r="F96" s="65">
        <f>D96*E96</f>
        <v>8601.125</v>
      </c>
      <c r="G96" s="79">
        <v>600.34</v>
      </c>
      <c r="H96" s="385">
        <f>F96*12*1.302+G96</f>
        <v>134984.31700000001</v>
      </c>
    </row>
    <row r="97" spans="1:8" ht="15.75" hidden="1" x14ac:dyDescent="0.25">
      <c r="A97" s="586"/>
      <c r="B97" s="586"/>
      <c r="C97" s="389"/>
      <c r="D97" s="64"/>
      <c r="E97" s="381"/>
      <c r="F97" s="65"/>
      <c r="G97" s="79">
        <v>1440.83</v>
      </c>
      <c r="H97" s="385"/>
    </row>
    <row r="98" spans="1:8" x14ac:dyDescent="0.25">
      <c r="A98" s="566" t="s">
        <v>28</v>
      </c>
      <c r="B98" s="566"/>
      <c r="C98" s="566"/>
      <c r="D98" s="566"/>
      <c r="E98" s="566"/>
      <c r="F98" s="566"/>
      <c r="G98" s="477"/>
      <c r="H98" s="422">
        <f>SUM(H93:H97)</f>
        <v>706658.8291300002</v>
      </c>
    </row>
    <row r="99" spans="1:8" x14ac:dyDescent="0.25">
      <c r="A99" s="164"/>
      <c r="B99" s="164"/>
      <c r="C99" s="164"/>
      <c r="D99" s="164"/>
      <c r="E99" s="164"/>
      <c r="F99" s="164"/>
      <c r="G99" s="190"/>
    </row>
    <row r="100" spans="1:8" x14ac:dyDescent="0.25">
      <c r="A100" s="164"/>
      <c r="B100" s="164"/>
      <c r="C100" s="164"/>
      <c r="D100" s="164"/>
      <c r="E100" s="164"/>
      <c r="F100" s="164"/>
      <c r="G100" s="190"/>
    </row>
    <row r="101" spans="1:8" s="45" customFormat="1" ht="14.45" customHeight="1" x14ac:dyDescent="0.25">
      <c r="A101" s="588" t="s">
        <v>198</v>
      </c>
      <c r="B101" s="588"/>
      <c r="C101" s="588"/>
      <c r="D101" s="598"/>
      <c r="E101" s="598"/>
      <c r="F101" s="598"/>
      <c r="G101" s="598"/>
      <c r="H101" s="598"/>
    </row>
    <row r="102" spans="1:8" s="45" customFormat="1" ht="14.45" customHeight="1" x14ac:dyDescent="0.25">
      <c r="A102" s="550" t="s">
        <v>65</v>
      </c>
      <c r="B102" s="599" t="s">
        <v>167</v>
      </c>
      <c r="C102" s="600"/>
      <c r="D102" s="579"/>
      <c r="E102" s="605"/>
      <c r="F102" s="580"/>
      <c r="G102" s="228"/>
      <c r="H102" s="228"/>
    </row>
    <row r="103" spans="1:8" s="45" customFormat="1" ht="14.45" customHeight="1" x14ac:dyDescent="0.25">
      <c r="A103" s="554"/>
      <c r="B103" s="601"/>
      <c r="C103" s="602"/>
      <c r="D103" s="606" t="s">
        <v>171</v>
      </c>
      <c r="E103" s="554" t="s">
        <v>177</v>
      </c>
      <c r="F103" s="554" t="s">
        <v>6</v>
      </c>
    </row>
    <row r="104" spans="1:8" s="45" customFormat="1" x14ac:dyDescent="0.25">
      <c r="A104" s="551"/>
      <c r="B104" s="603"/>
      <c r="C104" s="604"/>
      <c r="D104" s="607"/>
      <c r="E104" s="551"/>
      <c r="F104" s="551"/>
    </row>
    <row r="105" spans="1:8" s="45" customFormat="1" x14ac:dyDescent="0.25">
      <c r="A105" s="386">
        <v>1</v>
      </c>
      <c r="B105" s="552">
        <v>2</v>
      </c>
      <c r="C105" s="553"/>
      <c r="D105" s="386">
        <v>5</v>
      </c>
      <c r="E105" s="386">
        <v>6</v>
      </c>
      <c r="F105" s="386">
        <v>7</v>
      </c>
    </row>
    <row r="106" spans="1:8" s="45" customFormat="1" x14ac:dyDescent="0.25">
      <c r="A106" s="382" t="s">
        <v>174</v>
      </c>
      <c r="B106" s="386">
        <v>0.33500000000000002</v>
      </c>
      <c r="C106" s="383"/>
      <c r="D106" s="162">
        <v>32258.06</v>
      </c>
      <c r="E106" s="198">
        <f t="shared" ref="E106:E108" si="2">D106*30.2%</f>
        <v>9741.9341199999999</v>
      </c>
      <c r="F106" s="198">
        <f>(D106+E106)*0.335</f>
        <v>14069.998030200002</v>
      </c>
      <c r="G106" s="45">
        <v>14070</v>
      </c>
    </row>
    <row r="107" spans="1:8" s="45" customFormat="1" x14ac:dyDescent="0.25">
      <c r="A107" s="382" t="s">
        <v>175</v>
      </c>
      <c r="B107" s="386">
        <v>0.16750000000000001</v>
      </c>
      <c r="C107" s="383"/>
      <c r="D107" s="162">
        <v>16129.03</v>
      </c>
      <c r="E107" s="198">
        <f t="shared" si="2"/>
        <v>4870.9670599999999</v>
      </c>
      <c r="F107" s="198">
        <f t="shared" ref="F107:F108" si="3">(D107+E107)*0.335</f>
        <v>7034.9990151000011</v>
      </c>
      <c r="G107" s="45">
        <v>7035</v>
      </c>
    </row>
    <row r="108" spans="1:8" s="45" customFormat="1" x14ac:dyDescent="0.25">
      <c r="A108" s="382" t="s">
        <v>154</v>
      </c>
      <c r="B108" s="386">
        <v>0.33500000000000002</v>
      </c>
      <c r="C108" s="383"/>
      <c r="D108" s="162">
        <v>32258.06</v>
      </c>
      <c r="E108" s="198">
        <f t="shared" si="2"/>
        <v>9741.9341199999999</v>
      </c>
      <c r="F108" s="198">
        <f t="shared" si="3"/>
        <v>14069.998030200002</v>
      </c>
      <c r="G108" s="45">
        <v>14070</v>
      </c>
    </row>
    <row r="109" spans="1:8" s="45" customFormat="1" x14ac:dyDescent="0.25">
      <c r="A109" s="165"/>
      <c r="B109" s="387"/>
      <c r="C109" s="166"/>
      <c r="D109" s="138">
        <f>SUM(D106:D108)</f>
        <v>80645.150000000009</v>
      </c>
      <c r="E109" s="138">
        <f>SUM(E106:E108)</f>
        <v>24354.835299999999</v>
      </c>
      <c r="F109" s="423">
        <f>SUM(F106:F108)</f>
        <v>35174.995075500003</v>
      </c>
    </row>
    <row r="110" spans="1:8" x14ac:dyDescent="0.25">
      <c r="A110" s="164"/>
      <c r="B110" s="164"/>
      <c r="C110" s="164"/>
      <c r="D110" s="164"/>
      <c r="E110" s="164"/>
      <c r="F110" s="164"/>
      <c r="G110" s="190"/>
    </row>
    <row r="111" spans="1:8" x14ac:dyDescent="0.25">
      <c r="A111" s="593" t="s">
        <v>121</v>
      </c>
      <c r="B111" s="593"/>
      <c r="C111" s="593"/>
      <c r="D111" s="593"/>
      <c r="E111" s="593"/>
      <c r="F111" s="593"/>
    </row>
    <row r="112" spans="1:8" ht="38.25" x14ac:dyDescent="0.25">
      <c r="A112" s="382" t="s">
        <v>122</v>
      </c>
      <c r="B112" s="386" t="s">
        <v>123</v>
      </c>
      <c r="C112" s="396"/>
      <c r="D112" s="386" t="s">
        <v>127</v>
      </c>
      <c r="E112" s="386" t="s">
        <v>124</v>
      </c>
      <c r="F112" s="386" t="s">
        <v>125</v>
      </c>
      <c r="G112" s="385" t="s">
        <v>6</v>
      </c>
    </row>
    <row r="113" spans="1:7" x14ac:dyDescent="0.25">
      <c r="A113" s="382">
        <v>1</v>
      </c>
      <c r="B113" s="386">
        <v>2</v>
      </c>
      <c r="C113" s="396"/>
      <c r="D113" s="386">
        <v>3</v>
      </c>
      <c r="E113" s="386">
        <v>4</v>
      </c>
      <c r="F113" s="386">
        <v>5</v>
      </c>
      <c r="G113" s="424" t="s">
        <v>235</v>
      </c>
    </row>
    <row r="114" spans="1:7" x14ac:dyDescent="0.25">
      <c r="A114" s="386" t="s">
        <v>126</v>
      </c>
      <c r="B114" s="386">
        <v>3</v>
      </c>
      <c r="C114" s="386"/>
      <c r="D114" s="386">
        <v>12</v>
      </c>
      <c r="E114" s="386">
        <v>75</v>
      </c>
      <c r="F114" s="121">
        <f>B114*D114*E114</f>
        <v>2700</v>
      </c>
      <c r="G114" s="94">
        <f>F114*F90</f>
        <v>904.5</v>
      </c>
    </row>
    <row r="115" spans="1:7" x14ac:dyDescent="0.25">
      <c r="A115" s="382" t="s">
        <v>291</v>
      </c>
      <c r="B115" s="386">
        <v>1</v>
      </c>
      <c r="C115" s="122">
        <v>5</v>
      </c>
      <c r="D115" s="122">
        <v>5</v>
      </c>
      <c r="E115" s="122">
        <v>21992.651999999998</v>
      </c>
      <c r="F115" s="121">
        <v>109963.26</v>
      </c>
      <c r="G115" s="121">
        <f>PRODUCT(F115,0.335)-0.01</f>
        <v>36837.682099999998</v>
      </c>
    </row>
    <row r="116" spans="1:7" x14ac:dyDescent="0.25">
      <c r="A116" s="382" t="s">
        <v>292</v>
      </c>
      <c r="B116" s="386">
        <v>1</v>
      </c>
      <c r="C116" s="122">
        <v>5</v>
      </c>
      <c r="D116" s="122">
        <v>5</v>
      </c>
      <c r="E116" s="122">
        <v>20452.009999999998</v>
      </c>
      <c r="F116" s="121">
        <v>102260.07</v>
      </c>
      <c r="G116" s="121">
        <f t="shared" ref="G116" si="4">PRODUCT(F116,0.335)</f>
        <v>34257.123450000006</v>
      </c>
    </row>
    <row r="117" spans="1:7" x14ac:dyDescent="0.25">
      <c r="A117" s="382" t="s">
        <v>293</v>
      </c>
      <c r="B117" s="386">
        <v>1</v>
      </c>
      <c r="C117" s="122">
        <v>5</v>
      </c>
      <c r="D117" s="122">
        <v>5</v>
      </c>
      <c r="E117" s="122">
        <v>21031.16</v>
      </c>
      <c r="F117" s="121">
        <v>105155.82</v>
      </c>
      <c r="G117" s="121">
        <f>PRODUCT(F117,0.335)+402</f>
        <v>35629.199700000005</v>
      </c>
    </row>
    <row r="118" spans="1:7" ht="14.45" customHeight="1" x14ac:dyDescent="0.25">
      <c r="A118" s="137"/>
      <c r="B118" s="137"/>
      <c r="C118" s="137"/>
      <c r="D118" s="137"/>
      <c r="E118" s="387" t="s">
        <v>97</v>
      </c>
      <c r="F118" s="138"/>
      <c r="G118" s="425">
        <f>G114+G115+G116+G117</f>
        <v>107628.50525000002</v>
      </c>
    </row>
    <row r="119" spans="1:7" x14ac:dyDescent="0.25">
      <c r="A119" s="50" t="s">
        <v>48</v>
      </c>
      <c r="B119" s="49"/>
      <c r="C119" s="49"/>
      <c r="D119" s="49"/>
      <c r="E119" s="49"/>
      <c r="F119" s="49"/>
    </row>
    <row r="120" spans="1:7" x14ac:dyDescent="0.25">
      <c r="A120" s="50" t="s">
        <v>92</v>
      </c>
      <c r="B120" s="49"/>
      <c r="C120" s="49"/>
      <c r="D120" s="49"/>
      <c r="E120" s="49"/>
      <c r="F120" s="49"/>
    </row>
    <row r="121" spans="1:7" x14ac:dyDescent="0.25">
      <c r="A121" s="570" t="s">
        <v>50</v>
      </c>
      <c r="B121" s="570"/>
      <c r="C121" s="570"/>
      <c r="D121" s="570"/>
      <c r="E121" s="570"/>
      <c r="F121" s="49"/>
    </row>
    <row r="122" spans="1:7" x14ac:dyDescent="0.25">
      <c r="A122" s="49"/>
      <c r="B122" s="49"/>
      <c r="C122" s="49"/>
      <c r="D122" s="49"/>
      <c r="E122" s="49"/>
      <c r="F122" s="51">
        <f>F90</f>
        <v>0.33500000000000002</v>
      </c>
    </row>
    <row r="123" spans="1:7" x14ac:dyDescent="0.25">
      <c r="A123" s="596" t="s">
        <v>13</v>
      </c>
      <c r="B123" s="596" t="s">
        <v>11</v>
      </c>
      <c r="C123" s="381"/>
      <c r="D123" s="596" t="s">
        <v>14</v>
      </c>
      <c r="E123" s="596" t="s">
        <v>15</v>
      </c>
      <c r="F123" s="596" t="s">
        <v>6</v>
      </c>
    </row>
    <row r="124" spans="1:7" x14ac:dyDescent="0.25">
      <c r="A124" s="596"/>
      <c r="B124" s="596"/>
      <c r="C124" s="381"/>
      <c r="D124" s="596"/>
      <c r="E124" s="596"/>
      <c r="F124" s="596"/>
    </row>
    <row r="125" spans="1:7" x14ac:dyDescent="0.25">
      <c r="A125" s="381">
        <v>1</v>
      </c>
      <c r="B125" s="381">
        <v>2</v>
      </c>
      <c r="C125" s="381"/>
      <c r="D125" s="381">
        <v>3</v>
      </c>
      <c r="E125" s="381">
        <v>4</v>
      </c>
      <c r="F125" s="381" t="s">
        <v>98</v>
      </c>
    </row>
    <row r="126" spans="1:7" x14ac:dyDescent="0.25">
      <c r="A126" s="382" t="s">
        <v>17</v>
      </c>
      <c r="B126" s="386" t="s">
        <v>18</v>
      </c>
      <c r="C126" s="386"/>
      <c r="D126" s="386">
        <f>F122*55</f>
        <v>18.425000000000001</v>
      </c>
      <c r="E126" s="386">
        <v>2974.26</v>
      </c>
      <c r="F126" s="58">
        <f>D126*E126</f>
        <v>54800.740500000007</v>
      </c>
    </row>
    <row r="127" spans="1:7" x14ac:dyDescent="0.25">
      <c r="A127" s="386" t="s">
        <v>238</v>
      </c>
      <c r="B127" s="386" t="s">
        <v>241</v>
      </c>
      <c r="C127" s="386"/>
      <c r="D127" s="386">
        <f>F122*106.3</f>
        <v>35.610500000000002</v>
      </c>
      <c r="E127" s="386">
        <v>55.18</v>
      </c>
      <c r="F127" s="58">
        <f t="shared" ref="F127:F131" si="5">D127*E127</f>
        <v>1964.98739</v>
      </c>
    </row>
    <row r="128" spans="1:7" x14ac:dyDescent="0.25">
      <c r="A128" s="386" t="s">
        <v>239</v>
      </c>
      <c r="B128" s="386" t="s">
        <v>241</v>
      </c>
      <c r="C128" s="386"/>
      <c r="D128" s="386">
        <f>F122*106.3</f>
        <v>35.610500000000002</v>
      </c>
      <c r="E128" s="386">
        <v>56.66</v>
      </c>
      <c r="F128" s="58">
        <f t="shared" si="5"/>
        <v>2017.69093</v>
      </c>
    </row>
    <row r="129" spans="1:7" x14ac:dyDescent="0.25">
      <c r="A129" s="386" t="s">
        <v>16</v>
      </c>
      <c r="B129" s="386" t="s">
        <v>242</v>
      </c>
      <c r="C129" s="386"/>
      <c r="D129" s="386">
        <f>F122*10.36</f>
        <v>3.4706000000000001</v>
      </c>
      <c r="E129" s="386">
        <v>7415.06</v>
      </c>
      <c r="F129" s="58">
        <f>D129*E129</f>
        <v>25734.707236000002</v>
      </c>
    </row>
    <row r="130" spans="1:7" x14ac:dyDescent="0.25">
      <c r="A130" s="382" t="s">
        <v>240</v>
      </c>
      <c r="B130" s="386" t="s">
        <v>243</v>
      </c>
      <c r="C130" s="386"/>
      <c r="D130" s="386">
        <f>F122*12</f>
        <v>4.0200000000000005</v>
      </c>
      <c r="E130" s="383">
        <v>6334.56</v>
      </c>
      <c r="F130" s="58">
        <f>D130*E130</f>
        <v>25464.931200000003</v>
      </c>
    </row>
    <row r="131" spans="1:7" x14ac:dyDescent="0.25">
      <c r="A131" s="382" t="s">
        <v>406</v>
      </c>
      <c r="B131" s="386" t="str">
        <f>B128</f>
        <v>м3</v>
      </c>
      <c r="C131" s="386"/>
      <c r="D131" s="386">
        <f>3.636*D135</f>
        <v>1.2180600000000001</v>
      </c>
      <c r="E131" s="383">
        <v>2170.58</v>
      </c>
      <c r="F131" s="58">
        <f t="shared" si="5"/>
        <v>2643.8966748000003</v>
      </c>
    </row>
    <row r="132" spans="1:7" x14ac:dyDescent="0.25">
      <c r="A132" s="597"/>
      <c r="B132" s="597"/>
      <c r="C132" s="597"/>
      <c r="D132" s="597"/>
      <c r="E132" s="597"/>
      <c r="F132" s="426">
        <f>SUM(F126:F131)+0.06</f>
        <v>112627.01393080001</v>
      </c>
    </row>
    <row r="133" spans="1:7" x14ac:dyDescent="0.25">
      <c r="A133" s="575" t="s">
        <v>46</v>
      </c>
      <c r="B133" s="575"/>
      <c r="C133" s="575"/>
      <c r="D133" s="575"/>
      <c r="E133" s="575"/>
      <c r="F133" s="575"/>
    </row>
    <row r="134" spans="1:7" x14ac:dyDescent="0.25">
      <c r="A134" s="392" t="s">
        <v>88</v>
      </c>
      <c r="B134" s="44" t="s">
        <v>233</v>
      </c>
      <c r="C134" s="44"/>
      <c r="D134" s="44"/>
      <c r="E134" s="45"/>
      <c r="F134" s="45"/>
    </row>
    <row r="135" spans="1:7" x14ac:dyDescent="0.25">
      <c r="D135" s="46">
        <f>F122</f>
        <v>0.33500000000000002</v>
      </c>
    </row>
    <row r="136" spans="1:7" x14ac:dyDescent="0.25">
      <c r="A136" s="576" t="s">
        <v>117</v>
      </c>
      <c r="B136" s="576"/>
      <c r="C136" s="377"/>
      <c r="D136" s="377" t="s">
        <v>11</v>
      </c>
      <c r="E136" s="377" t="s">
        <v>51</v>
      </c>
      <c r="F136" s="377" t="s">
        <v>15</v>
      </c>
      <c r="G136" s="384" t="s">
        <v>6</v>
      </c>
    </row>
    <row r="137" spans="1:7" x14ac:dyDescent="0.25">
      <c r="A137" s="560">
        <v>1</v>
      </c>
      <c r="B137" s="561"/>
      <c r="C137" s="378"/>
      <c r="D137" s="377">
        <v>2</v>
      </c>
      <c r="E137" s="377">
        <v>3</v>
      </c>
      <c r="F137" s="377">
        <v>4</v>
      </c>
      <c r="G137" s="66" t="s">
        <v>73</v>
      </c>
    </row>
    <row r="138" spans="1:7" x14ac:dyDescent="0.25">
      <c r="A138" s="594" t="str">
        <f>A53</f>
        <v>Суточные</v>
      </c>
      <c r="B138" s="595"/>
      <c r="C138" s="380"/>
      <c r="D138" s="377" t="str">
        <f>D53</f>
        <v>сутки</v>
      </c>
      <c r="E138" s="267">
        <f>D135</f>
        <v>0.33500000000000002</v>
      </c>
      <c r="F138" s="385">
        <f>F53</f>
        <v>13500</v>
      </c>
      <c r="G138" s="66">
        <f>E138*F138</f>
        <v>4522.5</v>
      </c>
    </row>
    <row r="139" spans="1:7" x14ac:dyDescent="0.25">
      <c r="A139" s="594" t="str">
        <f>A54</f>
        <v>Проезд</v>
      </c>
      <c r="B139" s="595"/>
      <c r="C139" s="380"/>
      <c r="D139" s="377" t="str">
        <f>D54</f>
        <v xml:space="preserve">Ед. </v>
      </c>
      <c r="E139" s="267">
        <v>0.33500000000000002</v>
      </c>
      <c r="F139" s="385">
        <f>F54</f>
        <v>60000</v>
      </c>
      <c r="G139" s="66">
        <f>E139*F139</f>
        <v>20100</v>
      </c>
    </row>
    <row r="140" spans="1:7" x14ac:dyDescent="0.25">
      <c r="A140" s="594" t="str">
        <f>A55</f>
        <v>Проживание (гостиница)</v>
      </c>
      <c r="B140" s="595"/>
      <c r="C140" s="380"/>
      <c r="D140" s="377" t="str">
        <f>D55</f>
        <v>сутки</v>
      </c>
      <c r="E140" s="267">
        <v>0.33500000000000002</v>
      </c>
      <c r="F140" s="385">
        <f>F55</f>
        <v>7499.98</v>
      </c>
      <c r="G140" s="66">
        <f>E140*F140-0.25</f>
        <v>2512.2433000000001</v>
      </c>
    </row>
    <row r="141" spans="1:7" x14ac:dyDescent="0.25">
      <c r="A141" s="379" t="str">
        <f>A56</f>
        <v>Проживание (квартирные)</v>
      </c>
      <c r="B141" s="380"/>
      <c r="C141" s="380"/>
      <c r="D141" s="377" t="str">
        <f>D56</f>
        <v>сутки</v>
      </c>
      <c r="E141" s="267">
        <v>0.33500000000000002</v>
      </c>
      <c r="F141" s="385">
        <f>F56</f>
        <v>3375</v>
      </c>
      <c r="G141" s="66">
        <f>E141*F141</f>
        <v>1130.625</v>
      </c>
    </row>
    <row r="142" spans="1:7" x14ac:dyDescent="0.25">
      <c r="A142" s="573" t="s">
        <v>116</v>
      </c>
      <c r="B142" s="574"/>
      <c r="C142" s="373"/>
      <c r="D142" s="60"/>
      <c r="E142" s="67"/>
      <c r="F142" s="67"/>
      <c r="G142" s="408">
        <f>SUM(G138:G141)</f>
        <v>28265.368300000002</v>
      </c>
    </row>
    <row r="143" spans="1:7" x14ac:dyDescent="0.25">
      <c r="A143" s="592" t="s">
        <v>36</v>
      </c>
      <c r="B143" s="592"/>
      <c r="C143" s="592"/>
      <c r="D143" s="592"/>
      <c r="E143" s="592"/>
      <c r="F143" s="592"/>
      <c r="G143" s="188"/>
    </row>
    <row r="144" spans="1:7" x14ac:dyDescent="0.25">
      <c r="D144" s="52">
        <f>D135</f>
        <v>0.33500000000000002</v>
      </c>
    </row>
    <row r="145" spans="1:7" x14ac:dyDescent="0.25">
      <c r="A145" s="576" t="s">
        <v>24</v>
      </c>
      <c r="B145" s="576" t="s">
        <v>11</v>
      </c>
      <c r="C145" s="377"/>
      <c r="D145" s="576" t="s">
        <v>51</v>
      </c>
      <c r="E145" s="576" t="s">
        <v>15</v>
      </c>
      <c r="F145" s="589" t="s">
        <v>192</v>
      </c>
      <c r="G145" s="558" t="s">
        <v>6</v>
      </c>
    </row>
    <row r="146" spans="1:7" ht="3.6" customHeight="1" x14ac:dyDescent="0.25">
      <c r="A146" s="576"/>
      <c r="B146" s="576"/>
      <c r="C146" s="377"/>
      <c r="D146" s="576"/>
      <c r="E146" s="576"/>
      <c r="F146" s="590"/>
      <c r="G146" s="559"/>
    </row>
    <row r="147" spans="1:7" x14ac:dyDescent="0.25">
      <c r="A147" s="377">
        <v>1</v>
      </c>
      <c r="B147" s="377">
        <v>2</v>
      </c>
      <c r="C147" s="377"/>
      <c r="D147" s="377">
        <v>3</v>
      </c>
      <c r="E147" s="377">
        <v>4</v>
      </c>
      <c r="F147" s="377">
        <v>5</v>
      </c>
      <c r="G147" s="59" t="s">
        <v>74</v>
      </c>
    </row>
    <row r="148" spans="1:7" x14ac:dyDescent="0.25">
      <c r="A148" s="382" t="s">
        <v>188</v>
      </c>
      <c r="B148" s="386" t="s">
        <v>243</v>
      </c>
      <c r="C148" s="386"/>
      <c r="D148" s="386">
        <f>D144</f>
        <v>0.33500000000000002</v>
      </c>
      <c r="E148" s="273">
        <v>250</v>
      </c>
      <c r="F148" s="377">
        <v>12</v>
      </c>
      <c r="G148" s="59">
        <f t="shared" ref="G148:G153" si="6">D148*E148*F148</f>
        <v>1005</v>
      </c>
    </row>
    <row r="149" spans="1:7" x14ac:dyDescent="0.25">
      <c r="A149" s="382" t="s">
        <v>189</v>
      </c>
      <c r="B149" s="386" t="s">
        <v>243</v>
      </c>
      <c r="C149" s="386"/>
      <c r="D149" s="386">
        <f>D144</f>
        <v>0.33500000000000002</v>
      </c>
      <c r="E149" s="162">
        <v>2250</v>
      </c>
      <c r="F149" s="377">
        <v>12</v>
      </c>
      <c r="G149" s="59">
        <f t="shared" si="6"/>
        <v>9045</v>
      </c>
    </row>
    <row r="150" spans="1:7" hidden="1" x14ac:dyDescent="0.25">
      <c r="A150" s="382" t="s">
        <v>190</v>
      </c>
      <c r="B150" s="386" t="s">
        <v>243</v>
      </c>
      <c r="C150" s="386"/>
      <c r="D150" s="386">
        <f>D144</f>
        <v>0.33500000000000002</v>
      </c>
      <c r="E150" s="162">
        <v>0</v>
      </c>
      <c r="F150" s="377">
        <v>12</v>
      </c>
      <c r="G150" s="59">
        <f t="shared" si="6"/>
        <v>0</v>
      </c>
    </row>
    <row r="151" spans="1:7" hidden="1" x14ac:dyDescent="0.25">
      <c r="A151" s="382" t="s">
        <v>282</v>
      </c>
      <c r="B151" s="386" t="s">
        <v>243</v>
      </c>
      <c r="C151" s="386"/>
      <c r="D151" s="386">
        <f>D144</f>
        <v>0.33500000000000002</v>
      </c>
      <c r="E151" s="162"/>
      <c r="F151" s="377"/>
      <c r="G151" s="59"/>
    </row>
    <row r="152" spans="1:7" x14ac:dyDescent="0.25">
      <c r="A152" s="382" t="s">
        <v>283</v>
      </c>
      <c r="B152" s="386" t="s">
        <v>243</v>
      </c>
      <c r="C152" s="386"/>
      <c r="D152" s="386">
        <f>D144</f>
        <v>0.33500000000000002</v>
      </c>
      <c r="E152" s="162">
        <v>6500</v>
      </c>
      <c r="F152" s="377">
        <v>8</v>
      </c>
      <c r="G152" s="59">
        <f t="shared" si="6"/>
        <v>17420</v>
      </c>
    </row>
    <row r="153" spans="1:7" x14ac:dyDescent="0.25">
      <c r="A153" s="382" t="s">
        <v>284</v>
      </c>
      <c r="B153" s="386" t="s">
        <v>243</v>
      </c>
      <c r="C153" s="386"/>
      <c r="D153" s="386">
        <f>D144</f>
        <v>0.33500000000000002</v>
      </c>
      <c r="E153" s="162">
        <v>11500</v>
      </c>
      <c r="F153" s="377">
        <v>4</v>
      </c>
      <c r="G153" s="59">
        <f t="shared" si="6"/>
        <v>15410.000000000002</v>
      </c>
    </row>
    <row r="154" spans="1:7" x14ac:dyDescent="0.25">
      <c r="A154" s="382" t="s">
        <v>191</v>
      </c>
      <c r="B154" s="386" t="s">
        <v>243</v>
      </c>
      <c r="C154" s="386"/>
      <c r="D154" s="386">
        <f>D144</f>
        <v>0.33500000000000002</v>
      </c>
      <c r="E154" s="162">
        <v>167.6</v>
      </c>
      <c r="F154" s="377">
        <v>12</v>
      </c>
      <c r="G154" s="59">
        <f>D154*E154*F154+0.06</f>
        <v>673.8119999999999</v>
      </c>
    </row>
    <row r="155" spans="1:7" x14ac:dyDescent="0.25">
      <c r="A155" s="591" t="s">
        <v>26</v>
      </c>
      <c r="B155" s="591"/>
      <c r="C155" s="591"/>
      <c r="D155" s="591"/>
      <c r="E155" s="591"/>
      <c r="F155" s="591"/>
      <c r="G155" s="422">
        <f>SUM(G148:G154)</f>
        <v>43553.811999999998</v>
      </c>
    </row>
    <row r="156" spans="1:7" x14ac:dyDescent="0.25">
      <c r="A156" s="592" t="s">
        <v>59</v>
      </c>
      <c r="B156" s="592"/>
      <c r="C156" s="592"/>
      <c r="D156" s="592"/>
      <c r="E156" s="592"/>
      <c r="F156" s="592"/>
    </row>
    <row r="157" spans="1:7" x14ac:dyDescent="0.25">
      <c r="D157" s="52">
        <f>D144</f>
        <v>0.33500000000000002</v>
      </c>
    </row>
    <row r="158" spans="1:7" x14ac:dyDescent="0.25">
      <c r="A158" s="576" t="s">
        <v>285</v>
      </c>
      <c r="B158" s="576" t="s">
        <v>11</v>
      </c>
      <c r="C158" s="377"/>
      <c r="D158" s="576" t="s">
        <v>51</v>
      </c>
      <c r="E158" s="576" t="s">
        <v>15</v>
      </c>
      <c r="F158" s="576" t="s">
        <v>25</v>
      </c>
      <c r="G158" s="558" t="s">
        <v>6</v>
      </c>
    </row>
    <row r="159" spans="1:7" hidden="1" x14ac:dyDescent="0.25">
      <c r="A159" s="576"/>
      <c r="B159" s="576"/>
      <c r="C159" s="377"/>
      <c r="D159" s="576"/>
      <c r="E159" s="576"/>
      <c r="F159" s="576"/>
      <c r="G159" s="559"/>
    </row>
    <row r="160" spans="1:7" x14ac:dyDescent="0.25">
      <c r="A160" s="377">
        <v>1</v>
      </c>
      <c r="B160" s="377">
        <v>2</v>
      </c>
      <c r="C160" s="377"/>
      <c r="D160" s="377">
        <v>3</v>
      </c>
      <c r="E160" s="377">
        <v>4</v>
      </c>
      <c r="F160" s="377">
        <v>5</v>
      </c>
      <c r="G160" s="59" t="s">
        <v>75</v>
      </c>
    </row>
    <row r="161" spans="1:7" x14ac:dyDescent="0.25">
      <c r="A161" s="136" t="s">
        <v>509</v>
      </c>
      <c r="B161" s="377" t="s">
        <v>134</v>
      </c>
      <c r="C161" s="377"/>
      <c r="D161" s="377">
        <v>0.33500000000000002</v>
      </c>
      <c r="E161" s="377">
        <v>8151.4</v>
      </c>
      <c r="F161" s="377">
        <v>1</v>
      </c>
      <c r="G161" s="59">
        <f>D161*E161</f>
        <v>2730.7190000000001</v>
      </c>
    </row>
    <row r="162" spans="1:7" x14ac:dyDescent="0.25">
      <c r="A162" s="55" t="s">
        <v>194</v>
      </c>
      <c r="B162" s="377" t="s">
        <v>22</v>
      </c>
      <c r="C162" s="377"/>
      <c r="D162" s="377">
        <f>1*D157</f>
        <v>0.33500000000000002</v>
      </c>
      <c r="E162" s="385">
        <v>10816</v>
      </c>
      <c r="F162" s="377">
        <v>1</v>
      </c>
      <c r="G162" s="59">
        <f>D162*E162*F162</f>
        <v>3623.36</v>
      </c>
    </row>
    <row r="163" spans="1:7" x14ac:dyDescent="0.25">
      <c r="A163" s="591" t="s">
        <v>60</v>
      </c>
      <c r="B163" s="591"/>
      <c r="C163" s="591"/>
      <c r="D163" s="591"/>
      <c r="E163" s="591"/>
      <c r="F163" s="591"/>
      <c r="G163" s="429">
        <f>SUM(G161:G162)</f>
        <v>6354.0789999999997</v>
      </c>
    </row>
    <row r="164" spans="1:7" x14ac:dyDescent="0.25">
      <c r="A164" s="592" t="s">
        <v>19</v>
      </c>
      <c r="B164" s="592"/>
      <c r="C164" s="592"/>
      <c r="D164" s="592"/>
      <c r="E164" s="592"/>
      <c r="F164" s="592"/>
    </row>
    <row r="165" spans="1:7" x14ac:dyDescent="0.25">
      <c r="A165" s="614" t="s">
        <v>20</v>
      </c>
      <c r="B165" s="614"/>
      <c r="C165" s="614"/>
      <c r="D165" s="614"/>
      <c r="E165" s="614"/>
      <c r="F165" s="614"/>
    </row>
    <row r="166" spans="1:7" x14ac:dyDescent="0.25">
      <c r="D166" s="52">
        <f>D157</f>
        <v>0.33500000000000002</v>
      </c>
    </row>
    <row r="167" spans="1:7" x14ac:dyDescent="0.25">
      <c r="A167" s="576" t="s">
        <v>21</v>
      </c>
      <c r="B167" s="576" t="s">
        <v>11</v>
      </c>
      <c r="C167" s="377"/>
      <c r="D167" s="576" t="s">
        <v>14</v>
      </c>
      <c r="E167" s="576" t="s">
        <v>15</v>
      </c>
      <c r="F167" s="576" t="s">
        <v>6</v>
      </c>
    </row>
    <row r="168" spans="1:7" x14ac:dyDescent="0.25">
      <c r="A168" s="576"/>
      <c r="B168" s="576"/>
      <c r="C168" s="377"/>
      <c r="D168" s="576"/>
      <c r="E168" s="576"/>
      <c r="F168" s="576"/>
    </row>
    <row r="169" spans="1:7" x14ac:dyDescent="0.25">
      <c r="A169" s="377">
        <v>1</v>
      </c>
      <c r="B169" s="377">
        <v>2</v>
      </c>
      <c r="C169" s="377"/>
      <c r="D169" s="377">
        <v>3</v>
      </c>
      <c r="E169" s="377">
        <v>7</v>
      </c>
      <c r="F169" s="377" t="s">
        <v>196</v>
      </c>
    </row>
    <row r="170" spans="1:7" x14ac:dyDescent="0.25">
      <c r="A170" s="382" t="s">
        <v>294</v>
      </c>
      <c r="B170" s="386" t="str">
        <f>$B$162</f>
        <v>договор</v>
      </c>
      <c r="C170" s="386"/>
      <c r="D170" s="386">
        <f>$D$166*12</f>
        <v>4.0200000000000005</v>
      </c>
      <c r="E170" s="386">
        <v>2000</v>
      </c>
      <c r="F170" s="385">
        <f>D170*E170</f>
        <v>8040.0000000000009</v>
      </c>
    </row>
    <row r="171" spans="1:7" x14ac:dyDescent="0.25">
      <c r="A171" s="98" t="s">
        <v>200</v>
      </c>
      <c r="B171" s="386" t="str">
        <f t="shared" ref="B171:B202" si="7">$B$162</f>
        <v>договор</v>
      </c>
      <c r="C171" s="99"/>
      <c r="D171" s="386">
        <f>$D$166*2</f>
        <v>0.67</v>
      </c>
      <c r="E171" s="121">
        <v>20368.73</v>
      </c>
      <c r="F171" s="385">
        <f t="shared" ref="F171:F202" si="8">D171*E171</f>
        <v>13647.0491</v>
      </c>
    </row>
    <row r="172" spans="1:7" x14ac:dyDescent="0.25">
      <c r="A172" s="98" t="s">
        <v>298</v>
      </c>
      <c r="B172" s="386" t="str">
        <f t="shared" si="7"/>
        <v>договор</v>
      </c>
      <c r="C172" s="99"/>
      <c r="D172" s="386">
        <f t="shared" ref="D172:D202" si="9">$D$166</f>
        <v>0.33500000000000002</v>
      </c>
      <c r="E172" s="386">
        <v>12104.4</v>
      </c>
      <c r="F172" s="385">
        <f t="shared" si="8"/>
        <v>4054.9740000000002</v>
      </c>
    </row>
    <row r="173" spans="1:7" ht="30" customHeight="1" x14ac:dyDescent="0.25">
      <c r="A173" s="98" t="s">
        <v>118</v>
      </c>
      <c r="B173" s="386" t="str">
        <f t="shared" si="7"/>
        <v>договор</v>
      </c>
      <c r="C173" s="99"/>
      <c r="D173" s="386">
        <f t="shared" si="9"/>
        <v>0.33500000000000002</v>
      </c>
      <c r="E173" s="386">
        <v>30000</v>
      </c>
      <c r="F173" s="385">
        <f t="shared" si="8"/>
        <v>10050</v>
      </c>
    </row>
    <row r="174" spans="1:7" x14ac:dyDescent="0.25">
      <c r="A174" s="98" t="s">
        <v>532</v>
      </c>
      <c r="B174" s="386" t="str">
        <f t="shared" si="7"/>
        <v>договор</v>
      </c>
      <c r="C174" s="99"/>
      <c r="D174" s="386">
        <f>$D$166*85</f>
        <v>28.475000000000001</v>
      </c>
      <c r="E174" s="386">
        <v>175.75</v>
      </c>
      <c r="F174" s="385">
        <f t="shared" si="8"/>
        <v>5004.4812499999998</v>
      </c>
    </row>
    <row r="175" spans="1:7" x14ac:dyDescent="0.25">
      <c r="A175" s="311" t="s">
        <v>533</v>
      </c>
      <c r="B175" s="386" t="str">
        <f t="shared" si="7"/>
        <v>договор</v>
      </c>
      <c r="C175" s="99"/>
      <c r="D175" s="386">
        <f t="shared" si="9"/>
        <v>0.33500000000000002</v>
      </c>
      <c r="E175" s="388">
        <v>9600</v>
      </c>
      <c r="F175" s="385">
        <f t="shared" si="8"/>
        <v>3216</v>
      </c>
    </row>
    <row r="176" spans="1:7" x14ac:dyDescent="0.25">
      <c r="A176" s="98" t="s">
        <v>534</v>
      </c>
      <c r="B176" s="386" t="str">
        <f t="shared" si="7"/>
        <v>договор</v>
      </c>
      <c r="C176" s="99"/>
      <c r="D176" s="386">
        <f t="shared" si="9"/>
        <v>0.33500000000000002</v>
      </c>
      <c r="E176" s="388">
        <v>16000</v>
      </c>
      <c r="F176" s="385">
        <f t="shared" si="8"/>
        <v>5360</v>
      </c>
    </row>
    <row r="177" spans="1:6" x14ac:dyDescent="0.25">
      <c r="A177" s="361" t="s">
        <v>535</v>
      </c>
      <c r="B177" s="386" t="str">
        <f t="shared" si="7"/>
        <v>договор</v>
      </c>
      <c r="C177" s="363"/>
      <c r="D177" s="386">
        <f>$D$166*2</f>
        <v>0.67</v>
      </c>
      <c r="E177" s="388">
        <v>2100</v>
      </c>
      <c r="F177" s="385">
        <f t="shared" si="8"/>
        <v>1407</v>
      </c>
    </row>
    <row r="178" spans="1:6" x14ac:dyDescent="0.25">
      <c r="A178" s="98" t="s">
        <v>536</v>
      </c>
      <c r="B178" s="386" t="str">
        <f t="shared" si="7"/>
        <v>договор</v>
      </c>
      <c r="C178" s="99"/>
      <c r="D178" s="386">
        <f t="shared" ref="D178:D180" si="10">$D$166*2</f>
        <v>0.67</v>
      </c>
      <c r="E178" s="388">
        <v>1900</v>
      </c>
      <c r="F178" s="385">
        <f t="shared" si="8"/>
        <v>1273</v>
      </c>
    </row>
    <row r="179" spans="1:6" x14ac:dyDescent="0.25">
      <c r="A179" s="98" t="s">
        <v>537</v>
      </c>
      <c r="B179" s="386" t="str">
        <f t="shared" si="7"/>
        <v>договор</v>
      </c>
      <c r="C179" s="99"/>
      <c r="D179" s="386">
        <f t="shared" si="10"/>
        <v>0.67</v>
      </c>
      <c r="E179" s="388">
        <v>3100</v>
      </c>
      <c r="F179" s="385">
        <f t="shared" si="8"/>
        <v>2077</v>
      </c>
    </row>
    <row r="180" spans="1:6" x14ac:dyDescent="0.25">
      <c r="A180" s="98" t="s">
        <v>538</v>
      </c>
      <c r="B180" s="386" t="str">
        <f t="shared" si="7"/>
        <v>договор</v>
      </c>
      <c r="C180" s="99"/>
      <c r="D180" s="386">
        <f t="shared" si="10"/>
        <v>0.67</v>
      </c>
      <c r="E180" s="388">
        <v>1950</v>
      </c>
      <c r="F180" s="385">
        <f t="shared" si="8"/>
        <v>1306.5</v>
      </c>
    </row>
    <row r="181" spans="1:6" x14ac:dyDescent="0.25">
      <c r="A181" s="98" t="s">
        <v>539</v>
      </c>
      <c r="B181" s="386" t="str">
        <f t="shared" si="7"/>
        <v>договор</v>
      </c>
      <c r="C181" s="99"/>
      <c r="D181" s="386">
        <f t="shared" si="9"/>
        <v>0.33500000000000002</v>
      </c>
      <c r="E181" s="388">
        <v>7850</v>
      </c>
      <c r="F181" s="385">
        <f t="shared" si="8"/>
        <v>2629.75</v>
      </c>
    </row>
    <row r="182" spans="1:6" x14ac:dyDescent="0.25">
      <c r="A182" s="98" t="s">
        <v>540</v>
      </c>
      <c r="B182" s="386" t="str">
        <f t="shared" si="7"/>
        <v>договор</v>
      </c>
      <c r="C182" s="99"/>
      <c r="D182" s="386">
        <f t="shared" si="9"/>
        <v>0.33500000000000002</v>
      </c>
      <c r="E182" s="388">
        <v>22650</v>
      </c>
      <c r="F182" s="385">
        <f t="shared" si="8"/>
        <v>7587.75</v>
      </c>
    </row>
    <row r="183" spans="1:6" x14ac:dyDescent="0.25">
      <c r="A183" s="362" t="s">
        <v>407</v>
      </c>
      <c r="B183" s="386" t="str">
        <f t="shared" si="7"/>
        <v>договор</v>
      </c>
      <c r="C183" s="364"/>
      <c r="D183" s="386">
        <f t="shared" si="9"/>
        <v>0.33500000000000002</v>
      </c>
      <c r="E183" s="365">
        <v>6900</v>
      </c>
      <c r="F183" s="385">
        <f t="shared" si="8"/>
        <v>2311.5</v>
      </c>
    </row>
    <row r="184" spans="1:6" x14ac:dyDescent="0.25">
      <c r="A184" s="362" t="s">
        <v>408</v>
      </c>
      <c r="B184" s="386" t="str">
        <f t="shared" si="7"/>
        <v>договор</v>
      </c>
      <c r="C184" s="364"/>
      <c r="D184" s="386">
        <f t="shared" si="9"/>
        <v>0.33500000000000002</v>
      </c>
      <c r="E184" s="365">
        <v>7400</v>
      </c>
      <c r="F184" s="385">
        <f t="shared" si="8"/>
        <v>2479</v>
      </c>
    </row>
    <row r="185" spans="1:6" x14ac:dyDescent="0.25">
      <c r="A185" s="362" t="s">
        <v>409</v>
      </c>
      <c r="B185" s="386" t="str">
        <f t="shared" si="7"/>
        <v>договор</v>
      </c>
      <c r="C185" s="364"/>
      <c r="D185" s="386">
        <f t="shared" si="9"/>
        <v>0.33500000000000002</v>
      </c>
      <c r="E185" s="365">
        <v>8500</v>
      </c>
      <c r="F185" s="385">
        <f t="shared" si="8"/>
        <v>2847.5</v>
      </c>
    </row>
    <row r="186" spans="1:6" x14ac:dyDescent="0.25">
      <c r="A186" s="362" t="s">
        <v>410</v>
      </c>
      <c r="B186" s="386" t="str">
        <f t="shared" si="7"/>
        <v>договор</v>
      </c>
      <c r="C186" s="364"/>
      <c r="D186" s="386">
        <f t="shared" si="9"/>
        <v>0.33500000000000002</v>
      </c>
      <c r="E186" s="365">
        <v>8500</v>
      </c>
      <c r="F186" s="385">
        <f t="shared" si="8"/>
        <v>2847.5</v>
      </c>
    </row>
    <row r="187" spans="1:6" x14ac:dyDescent="0.25">
      <c r="A187" s="362" t="s">
        <v>411</v>
      </c>
      <c r="B187" s="386" t="str">
        <f t="shared" si="7"/>
        <v>договор</v>
      </c>
      <c r="C187" s="364"/>
      <c r="D187" s="386">
        <f t="shared" si="9"/>
        <v>0.33500000000000002</v>
      </c>
      <c r="E187" s="365">
        <v>4000</v>
      </c>
      <c r="F187" s="385">
        <f t="shared" si="8"/>
        <v>1340</v>
      </c>
    </row>
    <row r="188" spans="1:6" x14ac:dyDescent="0.25">
      <c r="A188" s="362" t="s">
        <v>412</v>
      </c>
      <c r="B188" s="386" t="str">
        <f t="shared" si="7"/>
        <v>договор</v>
      </c>
      <c r="C188" s="364"/>
      <c r="D188" s="386">
        <f t="shared" si="9"/>
        <v>0.33500000000000002</v>
      </c>
      <c r="E188" s="365">
        <v>4000</v>
      </c>
      <c r="F188" s="385">
        <f t="shared" si="8"/>
        <v>1340</v>
      </c>
    </row>
    <row r="189" spans="1:6" x14ac:dyDescent="0.25">
      <c r="A189" s="362" t="s">
        <v>413</v>
      </c>
      <c r="B189" s="386" t="str">
        <f t="shared" si="7"/>
        <v>договор</v>
      </c>
      <c r="C189" s="364"/>
      <c r="D189" s="386">
        <f t="shared" si="9"/>
        <v>0.33500000000000002</v>
      </c>
      <c r="E189" s="365">
        <v>3000</v>
      </c>
      <c r="F189" s="385">
        <f t="shared" si="8"/>
        <v>1005.0000000000001</v>
      </c>
    </row>
    <row r="190" spans="1:6" x14ac:dyDescent="0.25">
      <c r="A190" s="362" t="s">
        <v>414</v>
      </c>
      <c r="B190" s="386" t="str">
        <f t="shared" si="7"/>
        <v>договор</v>
      </c>
      <c r="C190" s="364"/>
      <c r="D190" s="386">
        <f t="shared" si="9"/>
        <v>0.33500000000000002</v>
      </c>
      <c r="E190" s="365">
        <v>9500</v>
      </c>
      <c r="F190" s="385">
        <f t="shared" si="8"/>
        <v>3182.5</v>
      </c>
    </row>
    <row r="191" spans="1:6" x14ac:dyDescent="0.25">
      <c r="A191" s="362" t="s">
        <v>415</v>
      </c>
      <c r="B191" s="386" t="str">
        <f t="shared" si="7"/>
        <v>договор</v>
      </c>
      <c r="C191" s="364"/>
      <c r="D191" s="386">
        <f t="shared" si="9"/>
        <v>0.33500000000000002</v>
      </c>
      <c r="E191" s="365">
        <v>9000</v>
      </c>
      <c r="F191" s="385">
        <f t="shared" si="8"/>
        <v>3015</v>
      </c>
    </row>
    <row r="192" spans="1:6" x14ac:dyDescent="0.25">
      <c r="A192" s="362" t="s">
        <v>416</v>
      </c>
      <c r="B192" s="386" t="str">
        <f t="shared" si="7"/>
        <v>договор</v>
      </c>
      <c r="C192" s="364"/>
      <c r="D192" s="386">
        <f t="shared" si="9"/>
        <v>0.33500000000000002</v>
      </c>
      <c r="E192" s="365">
        <v>9600</v>
      </c>
      <c r="F192" s="385">
        <f t="shared" si="8"/>
        <v>3216</v>
      </c>
    </row>
    <row r="193" spans="1:7" x14ac:dyDescent="0.25">
      <c r="A193" s="362" t="s">
        <v>417</v>
      </c>
      <c r="B193" s="386" t="str">
        <f t="shared" si="7"/>
        <v>договор</v>
      </c>
      <c r="C193" s="364"/>
      <c r="D193" s="386">
        <f t="shared" si="9"/>
        <v>0.33500000000000002</v>
      </c>
      <c r="E193" s="365">
        <v>9500</v>
      </c>
      <c r="F193" s="385">
        <f t="shared" si="8"/>
        <v>3182.5</v>
      </c>
    </row>
    <row r="194" spans="1:7" x14ac:dyDescent="0.25">
      <c r="A194" s="362" t="s">
        <v>418</v>
      </c>
      <c r="B194" s="386" t="str">
        <f t="shared" si="7"/>
        <v>договор</v>
      </c>
      <c r="C194" s="364"/>
      <c r="D194" s="386">
        <f t="shared" si="9"/>
        <v>0.33500000000000002</v>
      </c>
      <c r="E194" s="365">
        <v>5000</v>
      </c>
      <c r="F194" s="385">
        <f t="shared" si="8"/>
        <v>1675</v>
      </c>
    </row>
    <row r="195" spans="1:7" x14ac:dyDescent="0.25">
      <c r="A195" s="362" t="s">
        <v>419</v>
      </c>
      <c r="B195" s="386" t="str">
        <f t="shared" si="7"/>
        <v>договор</v>
      </c>
      <c r="C195" s="364"/>
      <c r="D195" s="386">
        <f t="shared" si="9"/>
        <v>0.33500000000000002</v>
      </c>
      <c r="E195" s="365">
        <v>15000</v>
      </c>
      <c r="F195" s="385">
        <f t="shared" si="8"/>
        <v>5025</v>
      </c>
    </row>
    <row r="196" spans="1:7" x14ac:dyDescent="0.25">
      <c r="A196" s="98" t="s">
        <v>420</v>
      </c>
      <c r="B196" s="386" t="str">
        <f t="shared" si="7"/>
        <v>договор</v>
      </c>
      <c r="C196" s="99"/>
      <c r="D196" s="386">
        <f t="shared" si="9"/>
        <v>0.33500000000000002</v>
      </c>
      <c r="E196" s="404">
        <v>2000</v>
      </c>
      <c r="F196" s="385">
        <f t="shared" si="8"/>
        <v>670</v>
      </c>
    </row>
    <row r="197" spans="1:7" x14ac:dyDescent="0.25">
      <c r="A197" s="98" t="s">
        <v>421</v>
      </c>
      <c r="B197" s="386" t="str">
        <f t="shared" si="7"/>
        <v>договор</v>
      </c>
      <c r="C197" s="99"/>
      <c r="D197" s="386">
        <f t="shared" si="9"/>
        <v>0.33500000000000002</v>
      </c>
      <c r="E197" s="404">
        <v>2000</v>
      </c>
      <c r="F197" s="385">
        <f t="shared" si="8"/>
        <v>670</v>
      </c>
    </row>
    <row r="198" spans="1:7" x14ac:dyDescent="0.25">
      <c r="A198" s="98" t="s">
        <v>541</v>
      </c>
      <c r="B198" s="386" t="str">
        <f t="shared" si="7"/>
        <v>договор</v>
      </c>
      <c r="C198" s="99"/>
      <c r="D198" s="386">
        <f t="shared" si="9"/>
        <v>0.33500000000000002</v>
      </c>
      <c r="E198" s="404">
        <v>2000</v>
      </c>
      <c r="F198" s="385">
        <f t="shared" si="8"/>
        <v>670</v>
      </c>
    </row>
    <row r="199" spans="1:7" x14ac:dyDescent="0.25">
      <c r="A199" s="98" t="s">
        <v>422</v>
      </c>
      <c r="B199" s="386" t="str">
        <f t="shared" si="7"/>
        <v>договор</v>
      </c>
      <c r="C199" s="99"/>
      <c r="D199" s="386">
        <f t="shared" si="9"/>
        <v>0.33500000000000002</v>
      </c>
      <c r="E199" s="404">
        <v>2000</v>
      </c>
      <c r="F199" s="385">
        <f t="shared" si="8"/>
        <v>670</v>
      </c>
    </row>
    <row r="200" spans="1:7" x14ac:dyDescent="0.25">
      <c r="A200" s="98" t="s">
        <v>423</v>
      </c>
      <c r="B200" s="386" t="str">
        <f t="shared" si="7"/>
        <v>договор</v>
      </c>
      <c r="C200" s="99"/>
      <c r="D200" s="386">
        <f t="shared" si="9"/>
        <v>0.33500000000000002</v>
      </c>
      <c r="E200" s="404">
        <v>2000</v>
      </c>
      <c r="F200" s="385">
        <f t="shared" si="8"/>
        <v>670</v>
      </c>
    </row>
    <row r="201" spans="1:7" x14ac:dyDescent="0.25">
      <c r="A201" s="98" t="s">
        <v>424</v>
      </c>
      <c r="B201" s="386" t="str">
        <f t="shared" si="7"/>
        <v>договор</v>
      </c>
      <c r="C201" s="99"/>
      <c r="D201" s="386">
        <f t="shared" si="9"/>
        <v>0.33500000000000002</v>
      </c>
      <c r="E201" s="404">
        <v>2500</v>
      </c>
      <c r="F201" s="385">
        <f t="shared" si="8"/>
        <v>837.5</v>
      </c>
    </row>
    <row r="202" spans="1:7" x14ac:dyDescent="0.25">
      <c r="A202" s="98" t="s">
        <v>542</v>
      </c>
      <c r="B202" s="386" t="str">
        <f t="shared" si="7"/>
        <v>договор</v>
      </c>
      <c r="C202" s="99"/>
      <c r="D202" s="386">
        <f t="shared" si="9"/>
        <v>0.33500000000000002</v>
      </c>
      <c r="E202" s="386">
        <v>7500</v>
      </c>
      <c r="F202" s="385">
        <f t="shared" si="8"/>
        <v>2512.5</v>
      </c>
    </row>
    <row r="203" spans="1:7" x14ac:dyDescent="0.25">
      <c r="A203" s="608" t="s">
        <v>23</v>
      </c>
      <c r="B203" s="608"/>
      <c r="C203" s="608"/>
      <c r="D203" s="608"/>
      <c r="E203" s="608"/>
      <c r="F203" s="430">
        <f>SUM(F170:F202)+0.04</f>
        <v>105820.04435</v>
      </c>
      <c r="G203" s="39">
        <v>105820.01</v>
      </c>
    </row>
    <row r="204" spans="1:7" x14ac:dyDescent="0.25">
      <c r="A204" s="609" t="s">
        <v>29</v>
      </c>
      <c r="B204" s="610"/>
      <c r="C204" s="610"/>
      <c r="D204" s="610"/>
      <c r="E204" s="610"/>
      <c r="F204" s="611"/>
    </row>
    <row r="205" spans="1:7" x14ac:dyDescent="0.25">
      <c r="A205" s="612">
        <f>D166</f>
        <v>0.33500000000000002</v>
      </c>
      <c r="B205" s="612"/>
      <c r="C205" s="612"/>
      <c r="D205" s="612"/>
      <c r="E205" s="612"/>
      <c r="F205" s="612"/>
    </row>
    <row r="206" spans="1:7" x14ac:dyDescent="0.25">
      <c r="A206" s="613" t="s">
        <v>30</v>
      </c>
      <c r="B206" s="613" t="s">
        <v>11</v>
      </c>
      <c r="C206" s="374"/>
      <c r="D206" s="613" t="s">
        <v>14</v>
      </c>
      <c r="E206" s="613" t="s">
        <v>15</v>
      </c>
      <c r="F206" s="613" t="s">
        <v>6</v>
      </c>
    </row>
    <row r="207" spans="1:7" x14ac:dyDescent="0.25">
      <c r="A207" s="613"/>
      <c r="B207" s="613"/>
      <c r="C207" s="374"/>
      <c r="D207" s="613"/>
      <c r="E207" s="613"/>
      <c r="F207" s="613"/>
    </row>
    <row r="208" spans="1:7" x14ac:dyDescent="0.25">
      <c r="A208" s="374">
        <v>1</v>
      </c>
      <c r="B208" s="374">
        <v>2</v>
      </c>
      <c r="C208" s="374"/>
      <c r="D208" s="374">
        <v>3</v>
      </c>
      <c r="E208" s="374">
        <v>4</v>
      </c>
      <c r="F208" s="374" t="s">
        <v>119</v>
      </c>
    </row>
    <row r="209" spans="1:6" x14ac:dyDescent="0.25">
      <c r="A209" s="274" t="s">
        <v>578</v>
      </c>
      <c r="B209" s="277" t="s">
        <v>22</v>
      </c>
      <c r="C209" s="251"/>
      <c r="D209" s="251">
        <f>2*A205</f>
        <v>0.67</v>
      </c>
      <c r="E209" s="251">
        <v>17600</v>
      </c>
      <c r="F209" s="253">
        <f>D209*E209</f>
        <v>11792</v>
      </c>
    </row>
    <row r="210" spans="1:6" x14ac:dyDescent="0.25">
      <c r="A210" s="274" t="s">
        <v>579</v>
      </c>
      <c r="B210" s="277" t="s">
        <v>243</v>
      </c>
      <c r="C210" s="251"/>
      <c r="D210" s="251">
        <f>1*A205</f>
        <v>0.33500000000000002</v>
      </c>
      <c r="E210" s="251">
        <v>6800</v>
      </c>
      <c r="F210" s="253">
        <f>D210*E210</f>
        <v>2278</v>
      </c>
    </row>
    <row r="211" spans="1:6" ht="15" customHeight="1" x14ac:dyDescent="0.25">
      <c r="A211" s="274" t="s">
        <v>286</v>
      </c>
      <c r="B211" s="277" t="s">
        <v>22</v>
      </c>
      <c r="C211" s="251"/>
      <c r="D211" s="251">
        <f>A205</f>
        <v>0.33500000000000002</v>
      </c>
      <c r="E211" s="251">
        <v>1617</v>
      </c>
      <c r="F211" s="253">
        <f t="shared" ref="F211:F266" si="11">D211*E211</f>
        <v>541.69500000000005</v>
      </c>
    </row>
    <row r="212" spans="1:6" ht="15" customHeight="1" x14ac:dyDescent="0.25">
      <c r="A212" s="251" t="s">
        <v>580</v>
      </c>
      <c r="B212" s="277" t="s">
        <v>22</v>
      </c>
      <c r="C212" s="251"/>
      <c r="D212" s="251">
        <f>1*A205</f>
        <v>0.33500000000000002</v>
      </c>
      <c r="E212" s="251">
        <v>19305</v>
      </c>
      <c r="F212" s="253">
        <f t="shared" si="11"/>
        <v>6467.1750000000002</v>
      </c>
    </row>
    <row r="213" spans="1:6" ht="15" customHeight="1" x14ac:dyDescent="0.25">
      <c r="A213" s="274" t="s">
        <v>294</v>
      </c>
      <c r="B213" s="277" t="s">
        <v>22</v>
      </c>
      <c r="C213" s="251"/>
      <c r="D213" s="251">
        <f>1*A205</f>
        <v>0.33500000000000002</v>
      </c>
      <c r="E213" s="251">
        <v>960</v>
      </c>
      <c r="F213" s="253">
        <f t="shared" si="11"/>
        <v>321.60000000000002</v>
      </c>
    </row>
    <row r="214" spans="1:6" x14ac:dyDescent="0.25">
      <c r="A214" s="274" t="s">
        <v>295</v>
      </c>
      <c r="B214" s="277" t="s">
        <v>22</v>
      </c>
      <c r="C214" s="251"/>
      <c r="D214" s="251">
        <f>12*A205</f>
        <v>4.0200000000000005</v>
      </c>
      <c r="E214" s="251">
        <v>1000</v>
      </c>
      <c r="F214" s="253">
        <f t="shared" si="11"/>
        <v>4020.0000000000005</v>
      </c>
    </row>
    <row r="215" spans="1:6" x14ac:dyDescent="0.25">
      <c r="A215" s="274" t="s">
        <v>199</v>
      </c>
      <c r="B215" s="277" t="s">
        <v>22</v>
      </c>
      <c r="C215" s="251"/>
      <c r="D215" s="251">
        <f>A205</f>
        <v>0.33500000000000002</v>
      </c>
      <c r="E215" s="251">
        <v>18445</v>
      </c>
      <c r="F215" s="253">
        <f t="shared" si="11"/>
        <v>6179.0750000000007</v>
      </c>
    </row>
    <row r="216" spans="1:6" x14ac:dyDescent="0.25">
      <c r="A216" s="274" t="s">
        <v>296</v>
      </c>
      <c r="B216" s="277" t="s">
        <v>22</v>
      </c>
      <c r="C216" s="251"/>
      <c r="D216" s="251">
        <f>D214</f>
        <v>4.0200000000000005</v>
      </c>
      <c r="E216" s="251">
        <v>8000</v>
      </c>
      <c r="F216" s="253">
        <f t="shared" si="11"/>
        <v>32160.000000000004</v>
      </c>
    </row>
    <row r="217" spans="1:6" x14ac:dyDescent="0.25">
      <c r="A217" s="274" t="s">
        <v>297</v>
      </c>
      <c r="B217" s="277" t="s">
        <v>22</v>
      </c>
      <c r="C217" s="251"/>
      <c r="D217" s="251">
        <f>D214</f>
        <v>4.0200000000000005</v>
      </c>
      <c r="E217" s="251">
        <v>5000</v>
      </c>
      <c r="F217" s="253">
        <f t="shared" si="11"/>
        <v>20100.000000000004</v>
      </c>
    </row>
    <row r="218" spans="1:6" ht="15" customHeight="1" x14ac:dyDescent="0.25">
      <c r="A218" s="274" t="s">
        <v>425</v>
      </c>
      <c r="B218" s="277" t="s">
        <v>22</v>
      </c>
      <c r="C218" s="251"/>
      <c r="D218" s="251">
        <f>A205</f>
        <v>0.33500000000000002</v>
      </c>
      <c r="E218" s="275">
        <v>31500</v>
      </c>
      <c r="F218" s="253">
        <f t="shared" si="11"/>
        <v>10552.5</v>
      </c>
    </row>
    <row r="219" spans="1:6" ht="15" customHeight="1" x14ac:dyDescent="0.25">
      <c r="A219" s="276" t="s">
        <v>581</v>
      </c>
      <c r="B219" s="277" t="s">
        <v>22</v>
      </c>
      <c r="C219" s="251"/>
      <c r="D219" s="251">
        <f>4*A205</f>
        <v>1.34</v>
      </c>
      <c r="E219" s="275">
        <v>3805.5</v>
      </c>
      <c r="F219" s="253">
        <f t="shared" si="11"/>
        <v>5099.37</v>
      </c>
    </row>
    <row r="220" spans="1:6" ht="15" customHeight="1" x14ac:dyDescent="0.25">
      <c r="A220" s="274" t="s">
        <v>582</v>
      </c>
      <c r="B220" s="277" t="s">
        <v>22</v>
      </c>
      <c r="C220" s="251"/>
      <c r="D220" s="251">
        <f>D218</f>
        <v>0.33500000000000002</v>
      </c>
      <c r="E220" s="251">
        <v>3040.32</v>
      </c>
      <c r="F220" s="253">
        <f t="shared" si="11"/>
        <v>1018.5072000000001</v>
      </c>
    </row>
    <row r="221" spans="1:6" ht="15" customHeight="1" x14ac:dyDescent="0.25">
      <c r="A221" s="251" t="s">
        <v>583</v>
      </c>
      <c r="B221" s="277" t="s">
        <v>22</v>
      </c>
      <c r="C221" s="251"/>
      <c r="D221" s="251">
        <f>D220</f>
        <v>0.33500000000000002</v>
      </c>
      <c r="E221" s="251">
        <v>18512</v>
      </c>
      <c r="F221" s="253">
        <f t="shared" si="11"/>
        <v>6201.52</v>
      </c>
    </row>
    <row r="222" spans="1:6" ht="15" customHeight="1" x14ac:dyDescent="0.25">
      <c r="A222" s="274" t="s">
        <v>584</v>
      </c>
      <c r="B222" s="277" t="s">
        <v>22</v>
      </c>
      <c r="C222" s="251"/>
      <c r="D222" s="251">
        <v>0.33500000000000002</v>
      </c>
      <c r="E222" s="482">
        <v>4989</v>
      </c>
      <c r="F222" s="253">
        <f t="shared" si="11"/>
        <v>1671.3150000000001</v>
      </c>
    </row>
    <row r="223" spans="1:6" ht="15" customHeight="1" x14ac:dyDescent="0.25">
      <c r="A223" s="382" t="s">
        <v>299</v>
      </c>
      <c r="B223" s="277" t="s">
        <v>22</v>
      </c>
      <c r="C223" s="386"/>
      <c r="D223" s="386">
        <f>D220</f>
        <v>0.33500000000000002</v>
      </c>
      <c r="E223" s="404">
        <v>3600.68</v>
      </c>
      <c r="F223" s="253">
        <f t="shared" si="11"/>
        <v>1206.2278000000001</v>
      </c>
    </row>
    <row r="224" spans="1:6" ht="15" customHeight="1" x14ac:dyDescent="0.25">
      <c r="A224" s="382" t="s">
        <v>300</v>
      </c>
      <c r="B224" s="277" t="s">
        <v>22</v>
      </c>
      <c r="C224" s="386"/>
      <c r="D224" s="386">
        <f>7*A205</f>
        <v>2.3450000000000002</v>
      </c>
      <c r="E224" s="404">
        <v>4400</v>
      </c>
      <c r="F224" s="253">
        <f t="shared" si="11"/>
        <v>10318</v>
      </c>
    </row>
    <row r="225" spans="1:6" ht="15" customHeight="1" x14ac:dyDescent="0.25">
      <c r="A225" s="382" t="s">
        <v>301</v>
      </c>
      <c r="B225" s="277" t="s">
        <v>22</v>
      </c>
      <c r="C225" s="386"/>
      <c r="D225" s="386">
        <f>2*A205</f>
        <v>0.67</v>
      </c>
      <c r="E225" s="404">
        <v>6630</v>
      </c>
      <c r="F225" s="253">
        <f t="shared" si="11"/>
        <v>4442.1000000000004</v>
      </c>
    </row>
    <row r="226" spans="1:6" ht="15" customHeight="1" x14ac:dyDescent="0.25">
      <c r="A226" s="382" t="s">
        <v>302</v>
      </c>
      <c r="B226" s="277" t="s">
        <v>22</v>
      </c>
      <c r="C226" s="386"/>
      <c r="D226" s="386">
        <f>A205</f>
        <v>0.33500000000000002</v>
      </c>
      <c r="E226" s="404">
        <v>1450</v>
      </c>
      <c r="F226" s="253">
        <f t="shared" si="11"/>
        <v>485.75000000000006</v>
      </c>
    </row>
    <row r="227" spans="1:6" ht="15" customHeight="1" x14ac:dyDescent="0.25">
      <c r="A227" s="382" t="s">
        <v>303</v>
      </c>
      <c r="B227" s="277" t="s">
        <v>22</v>
      </c>
      <c r="C227" s="386"/>
      <c r="D227" s="386">
        <f>D226</f>
        <v>0.33500000000000002</v>
      </c>
      <c r="E227" s="386">
        <v>2750</v>
      </c>
      <c r="F227" s="253">
        <f t="shared" si="11"/>
        <v>921.25</v>
      </c>
    </row>
    <row r="228" spans="1:6" ht="15" hidden="1" customHeight="1" x14ac:dyDescent="0.25">
      <c r="A228" s="382" t="s">
        <v>492</v>
      </c>
      <c r="B228" s="277" t="s">
        <v>134</v>
      </c>
      <c r="C228" s="386"/>
      <c r="D228" s="386"/>
      <c r="E228" s="404"/>
      <c r="F228" s="253"/>
    </row>
    <row r="229" spans="1:6" ht="15" hidden="1" customHeight="1" x14ac:dyDescent="0.25">
      <c r="A229" s="382" t="s">
        <v>493</v>
      </c>
      <c r="B229" s="277" t="s">
        <v>134</v>
      </c>
      <c r="C229" s="386"/>
      <c r="D229" s="386"/>
      <c r="E229" s="404"/>
      <c r="F229" s="253"/>
    </row>
    <row r="230" spans="1:6" ht="15" customHeight="1" x14ac:dyDescent="0.25">
      <c r="A230" s="382" t="str">
        <f>Лист1!B3</f>
        <v>ПУГНП</v>
      </c>
      <c r="B230" s="254" t="s">
        <v>91</v>
      </c>
      <c r="C230" s="386"/>
      <c r="D230" s="386">
        <f>Лист1!G3*$A$205</f>
        <v>16.75</v>
      </c>
      <c r="E230" s="404">
        <f>Лист1!H3</f>
        <v>28</v>
      </c>
      <c r="F230" s="253">
        <f t="shared" si="11"/>
        <v>469</v>
      </c>
    </row>
    <row r="231" spans="1:6" ht="15" customHeight="1" x14ac:dyDescent="0.25">
      <c r="A231" s="382" t="str">
        <f>Лист1!B4</f>
        <v>пакет майка</v>
      </c>
      <c r="B231" s="254" t="s">
        <v>91</v>
      </c>
      <c r="C231" s="386"/>
      <c r="D231" s="386">
        <f>Лист1!G4*$A$205</f>
        <v>0.33500000000000002</v>
      </c>
      <c r="E231" s="473">
        <f>Лист1!H4</f>
        <v>5</v>
      </c>
      <c r="F231" s="253">
        <f t="shared" si="11"/>
        <v>1.675</v>
      </c>
    </row>
    <row r="232" spans="1:6" ht="15" customHeight="1" x14ac:dyDescent="0.25">
      <c r="A232" s="382" t="str">
        <f>Лист1!B5</f>
        <v>розетка</v>
      </c>
      <c r="B232" s="254" t="s">
        <v>91</v>
      </c>
      <c r="C232" s="386"/>
      <c r="D232" s="386">
        <f>Лист1!G5*$A$205</f>
        <v>1.675</v>
      </c>
      <c r="E232" s="473">
        <f>Лист1!H5</f>
        <v>163</v>
      </c>
      <c r="F232" s="253">
        <f t="shared" si="11"/>
        <v>273.02500000000003</v>
      </c>
    </row>
    <row r="233" spans="1:6" ht="15" customHeight="1" x14ac:dyDescent="0.25">
      <c r="A233" s="382" t="str">
        <f>Лист1!B6</f>
        <v>Вилка евро</v>
      </c>
      <c r="B233" s="254" t="s">
        <v>91</v>
      </c>
      <c r="C233" s="251"/>
      <c r="D233" s="386">
        <f>Лист1!G6*$A$205</f>
        <v>1.675</v>
      </c>
      <c r="E233" s="473">
        <f>Лист1!H6</f>
        <v>180</v>
      </c>
      <c r="F233" s="253">
        <f t="shared" si="11"/>
        <v>301.5</v>
      </c>
    </row>
    <row r="234" spans="1:6" ht="15" customHeight="1" x14ac:dyDescent="0.25">
      <c r="A234" s="382" t="str">
        <f>Лист1!B7</f>
        <v>розетка "Пралеска"</v>
      </c>
      <c r="B234" s="254" t="s">
        <v>91</v>
      </c>
      <c r="C234" s="251"/>
      <c r="D234" s="386">
        <f>Лист1!G7*$A$205</f>
        <v>1.0050000000000001</v>
      </c>
      <c r="E234" s="473">
        <f>Лист1!H7</f>
        <v>379</v>
      </c>
      <c r="F234" s="253">
        <f t="shared" si="11"/>
        <v>380.89500000000004</v>
      </c>
    </row>
    <row r="235" spans="1:6" x14ac:dyDescent="0.25">
      <c r="A235" s="382" t="str">
        <f>Лист1!B8</f>
        <v>лампа "Онлайт"</v>
      </c>
      <c r="B235" s="254" t="s">
        <v>91</v>
      </c>
      <c r="C235" s="251"/>
      <c r="D235" s="386">
        <f>Лист1!G8*$A$205</f>
        <v>8.7100000000000009</v>
      </c>
      <c r="E235" s="473">
        <f>Лист1!H8</f>
        <v>76</v>
      </c>
      <c r="F235" s="253">
        <f t="shared" si="11"/>
        <v>661.96</v>
      </c>
    </row>
    <row r="236" spans="1:6" x14ac:dyDescent="0.25">
      <c r="A236" s="382" t="str">
        <f>Лист1!B9</f>
        <v>пугнп</v>
      </c>
      <c r="B236" s="254" t="s">
        <v>91</v>
      </c>
      <c r="C236" s="251"/>
      <c r="D236" s="386">
        <f>Лист1!G9*$A$205</f>
        <v>2.3450000000000002</v>
      </c>
      <c r="E236" s="473">
        <f>Лист1!H9</f>
        <v>28</v>
      </c>
      <c r="F236" s="253">
        <f t="shared" si="11"/>
        <v>65.660000000000011</v>
      </c>
    </row>
    <row r="237" spans="1:6" x14ac:dyDescent="0.25">
      <c r="A237" s="382" t="str">
        <f>Лист1!B10</f>
        <v>светильник точечный</v>
      </c>
      <c r="B237" s="254" t="s">
        <v>91</v>
      </c>
      <c r="C237" s="251"/>
      <c r="D237" s="386">
        <f>Лист1!G10*$A$205</f>
        <v>3.35</v>
      </c>
      <c r="E237" s="473">
        <f>Лист1!H10</f>
        <v>68</v>
      </c>
      <c r="F237" s="253">
        <f t="shared" si="11"/>
        <v>227.8</v>
      </c>
    </row>
    <row r="238" spans="1:6" x14ac:dyDescent="0.25">
      <c r="A238" s="382" t="str">
        <f>Лист1!B11</f>
        <v>светильник точечный</v>
      </c>
      <c r="B238" s="254" t="s">
        <v>91</v>
      </c>
      <c r="C238" s="251"/>
      <c r="D238" s="386">
        <f>Лист1!G11*$A$205</f>
        <v>3.35</v>
      </c>
      <c r="E238" s="473">
        <f>Лист1!H11</f>
        <v>105</v>
      </c>
      <c r="F238" s="253">
        <f t="shared" si="11"/>
        <v>351.75</v>
      </c>
    </row>
    <row r="239" spans="1:6" x14ac:dyDescent="0.25">
      <c r="A239" s="382" t="str">
        <f>Лист1!B12</f>
        <v>светильник точечный</v>
      </c>
      <c r="B239" s="254" t="s">
        <v>91</v>
      </c>
      <c r="C239" s="395"/>
      <c r="D239" s="386">
        <f>Лист1!G12*$A$205</f>
        <v>2.0100000000000002</v>
      </c>
      <c r="E239" s="473">
        <f>Лист1!H12</f>
        <v>93</v>
      </c>
      <c r="F239" s="253">
        <f t="shared" si="11"/>
        <v>186.93000000000004</v>
      </c>
    </row>
    <row r="240" spans="1:6" x14ac:dyDescent="0.25">
      <c r="A240" s="382" t="str">
        <f>Лист1!B13</f>
        <v>эмаль аэрозоль</v>
      </c>
      <c r="B240" s="254" t="s">
        <v>91</v>
      </c>
      <c r="C240" s="395"/>
      <c r="D240" s="386">
        <f>Лист1!G13*$A$205</f>
        <v>0.67</v>
      </c>
      <c r="E240" s="473">
        <f>Лист1!H13</f>
        <v>220</v>
      </c>
      <c r="F240" s="253">
        <f t="shared" si="11"/>
        <v>147.4</v>
      </c>
    </row>
    <row r="241" spans="1:6" x14ac:dyDescent="0.25">
      <c r="A241" s="382" t="str">
        <f>Лист1!B14</f>
        <v>пила сегментная</v>
      </c>
      <c r="B241" s="254" t="s">
        <v>91</v>
      </c>
      <c r="C241" s="395"/>
      <c r="D241" s="386">
        <f>Лист1!G14*$A$205</f>
        <v>0.33500000000000002</v>
      </c>
      <c r="E241" s="473">
        <f>Лист1!H14</f>
        <v>543</v>
      </c>
      <c r="F241" s="253">
        <f t="shared" si="11"/>
        <v>181.905</v>
      </c>
    </row>
    <row r="242" spans="1:6" x14ac:dyDescent="0.25">
      <c r="A242" s="382" t="str">
        <f>Лист1!B15</f>
        <v>комплект крепежей для батареи</v>
      </c>
      <c r="B242" s="254" t="s">
        <v>91</v>
      </c>
      <c r="C242" s="395"/>
      <c r="D242" s="386">
        <f>Лист1!G15*$A$205</f>
        <v>1.0050000000000001</v>
      </c>
      <c r="E242" s="473">
        <f>Лист1!H15</f>
        <v>270</v>
      </c>
      <c r="F242" s="253">
        <f t="shared" si="11"/>
        <v>271.35000000000002</v>
      </c>
    </row>
    <row r="243" spans="1:6" x14ac:dyDescent="0.25">
      <c r="A243" s="382" t="str">
        <f>Лист1!B16</f>
        <v>набор для радиатора</v>
      </c>
      <c r="B243" s="254" t="s">
        <v>91</v>
      </c>
      <c r="C243" s="255"/>
      <c r="D243" s="386">
        <f>Лист1!G16*$A$205</f>
        <v>1.0050000000000001</v>
      </c>
      <c r="E243" s="473">
        <f>Лист1!H16</f>
        <v>235</v>
      </c>
      <c r="F243" s="253">
        <f t="shared" si="11"/>
        <v>236.17500000000004</v>
      </c>
    </row>
    <row r="244" spans="1:6" x14ac:dyDescent="0.25">
      <c r="A244" s="382" t="str">
        <f>Лист1!B17</f>
        <v>лампа "Онлайт"</v>
      </c>
      <c r="B244" s="254" t="s">
        <v>91</v>
      </c>
      <c r="C244" s="395"/>
      <c r="D244" s="386">
        <f>Лист1!G17*$A$205</f>
        <v>1.675</v>
      </c>
      <c r="E244" s="473">
        <f>Лист1!H17</f>
        <v>165</v>
      </c>
      <c r="F244" s="253">
        <f t="shared" si="11"/>
        <v>276.375</v>
      </c>
    </row>
    <row r="245" spans="1:6" x14ac:dyDescent="0.25">
      <c r="A245" s="382" t="str">
        <f>Лист1!B18</f>
        <v>Прожектор светодиодный</v>
      </c>
      <c r="B245" s="254" t="s">
        <v>91</v>
      </c>
      <c r="C245" s="395"/>
      <c r="D245" s="386">
        <f>Лист1!G18*$A$205</f>
        <v>0.67</v>
      </c>
      <c r="E245" s="473">
        <f>Лист1!H18</f>
        <v>280</v>
      </c>
      <c r="F245" s="253">
        <f t="shared" si="11"/>
        <v>187.60000000000002</v>
      </c>
    </row>
    <row r="246" spans="1:6" x14ac:dyDescent="0.25">
      <c r="A246" s="382" t="str">
        <f>Лист1!B19</f>
        <v>скотч 48 мм</v>
      </c>
      <c r="B246" s="254" t="s">
        <v>91</v>
      </c>
      <c r="C246" s="395"/>
      <c r="D246" s="386">
        <f>Лист1!G19*$A$205</f>
        <v>4.0200000000000005</v>
      </c>
      <c r="E246" s="473">
        <f>Лист1!H19</f>
        <v>120</v>
      </c>
      <c r="F246" s="253">
        <f t="shared" si="11"/>
        <v>482.40000000000003</v>
      </c>
    </row>
    <row r="247" spans="1:6" x14ac:dyDescent="0.25">
      <c r="A247" s="382" t="str">
        <f>Лист1!B20</f>
        <v>скотч армированный</v>
      </c>
      <c r="B247" s="254" t="s">
        <v>91</v>
      </c>
      <c r="C247" s="397"/>
      <c r="D247" s="386">
        <f>Лист1!G20*$A$205</f>
        <v>0.67</v>
      </c>
      <c r="E247" s="473">
        <f>Лист1!H20</f>
        <v>77</v>
      </c>
      <c r="F247" s="253">
        <f t="shared" si="11"/>
        <v>51.59</v>
      </c>
    </row>
    <row r="248" spans="1:6" x14ac:dyDescent="0.25">
      <c r="A248" s="382" t="str">
        <f>Лист1!B21</f>
        <v>эмаль аэрозоль металлик</v>
      </c>
      <c r="B248" s="254" t="s">
        <v>91</v>
      </c>
      <c r="C248" s="397"/>
      <c r="D248" s="386">
        <f>Лист1!G21*$A$205</f>
        <v>0.33500000000000002</v>
      </c>
      <c r="E248" s="473">
        <f>Лист1!H21</f>
        <v>220</v>
      </c>
      <c r="F248" s="253">
        <f t="shared" si="11"/>
        <v>73.7</v>
      </c>
    </row>
    <row r="249" spans="1:6" x14ac:dyDescent="0.25">
      <c r="A249" s="382" t="str">
        <f>Лист1!B22</f>
        <v>эмаль аэрозоль коричн</v>
      </c>
      <c r="B249" s="254" t="s">
        <v>91</v>
      </c>
      <c r="C249" s="397"/>
      <c r="D249" s="386">
        <f>Лист1!G22*$A$205</f>
        <v>0.33500000000000002</v>
      </c>
      <c r="E249" s="473">
        <f>Лист1!H22</f>
        <v>193</v>
      </c>
      <c r="F249" s="253">
        <f t="shared" si="11"/>
        <v>64.655000000000001</v>
      </c>
    </row>
    <row r="250" spans="1:6" x14ac:dyDescent="0.25">
      <c r="A250" s="382" t="str">
        <f>Лист1!B23</f>
        <v>эмаль разн цвет</v>
      </c>
      <c r="B250" s="254" t="s">
        <v>91</v>
      </c>
      <c r="C250" s="397"/>
      <c r="D250" s="386">
        <f>Лист1!G23*$A$205</f>
        <v>1.34</v>
      </c>
      <c r="E250" s="473">
        <f>Лист1!H23</f>
        <v>270</v>
      </c>
      <c r="F250" s="253">
        <f t="shared" si="11"/>
        <v>361.8</v>
      </c>
    </row>
    <row r="251" spans="1:6" x14ac:dyDescent="0.25">
      <c r="A251" s="382" t="str">
        <f>Лист1!B24</f>
        <v>скоба</v>
      </c>
      <c r="B251" s="254" t="s">
        <v>91</v>
      </c>
      <c r="C251" s="397"/>
      <c r="D251" s="386">
        <f>Лист1!G24*$A$205</f>
        <v>1.675</v>
      </c>
      <c r="E251" s="473">
        <f>Лист1!H24</f>
        <v>54</v>
      </c>
      <c r="F251" s="253">
        <f t="shared" si="11"/>
        <v>90.45</v>
      </c>
    </row>
    <row r="252" spans="1:6" x14ac:dyDescent="0.25">
      <c r="A252" s="382" t="str">
        <f>Лист1!B25</f>
        <v>стяжка для провода</v>
      </c>
      <c r="B252" s="254" t="s">
        <v>91</v>
      </c>
      <c r="C252" s="397"/>
      <c r="D252" s="386">
        <f>Лист1!G25*$A$205</f>
        <v>0.67</v>
      </c>
      <c r="E252" s="473">
        <f>Лист1!H25</f>
        <v>223</v>
      </c>
      <c r="F252" s="253">
        <f t="shared" si="11"/>
        <v>149.41</v>
      </c>
    </row>
    <row r="253" spans="1:6" x14ac:dyDescent="0.25">
      <c r="A253" s="382" t="str">
        <f>Лист1!B26</f>
        <v>стяжка для провода</v>
      </c>
      <c r="B253" s="254" t="s">
        <v>91</v>
      </c>
      <c r="C253" s="397"/>
      <c r="D253" s="386">
        <f>Лист1!G26*$A$205</f>
        <v>0.67</v>
      </c>
      <c r="E253" s="473">
        <f>Лист1!H26</f>
        <v>90</v>
      </c>
      <c r="F253" s="253">
        <f t="shared" si="11"/>
        <v>60.300000000000004</v>
      </c>
    </row>
    <row r="254" spans="1:6" x14ac:dyDescent="0.25">
      <c r="A254" s="382" t="str">
        <f>Лист1!B27</f>
        <v>дюбель</v>
      </c>
      <c r="B254" s="254" t="s">
        <v>91</v>
      </c>
      <c r="C254" s="397"/>
      <c r="D254" s="386">
        <f>Лист1!G27*$A$205</f>
        <v>66.665000000000006</v>
      </c>
      <c r="E254" s="473">
        <f>Лист1!H27</f>
        <v>1</v>
      </c>
      <c r="F254" s="253">
        <f t="shared" si="11"/>
        <v>66.665000000000006</v>
      </c>
    </row>
    <row r="255" spans="1:6" x14ac:dyDescent="0.25">
      <c r="A255" s="382" t="str">
        <f>Лист1!B28</f>
        <v>бокорезы</v>
      </c>
      <c r="B255" s="254" t="s">
        <v>91</v>
      </c>
      <c r="C255" s="397"/>
      <c r="D255" s="386">
        <f>Лист1!G28*$A$205</f>
        <v>0.33500000000000002</v>
      </c>
      <c r="E255" s="473">
        <f>Лист1!H28</f>
        <v>371</v>
      </c>
      <c r="F255" s="253">
        <f t="shared" si="11"/>
        <v>124.28500000000001</v>
      </c>
    </row>
    <row r="256" spans="1:6" x14ac:dyDescent="0.25">
      <c r="A256" s="382" t="str">
        <f>Лист1!B29</f>
        <v>плоскогубцы</v>
      </c>
      <c r="B256" s="254" t="s">
        <v>91</v>
      </c>
      <c r="C256" s="397"/>
      <c r="D256" s="386">
        <f>Лист1!G29*$A$205</f>
        <v>0.33500000000000002</v>
      </c>
      <c r="E256" s="473">
        <f>Лист1!H29</f>
        <v>329</v>
      </c>
      <c r="F256" s="253">
        <f t="shared" si="11"/>
        <v>110.215</v>
      </c>
    </row>
    <row r="257" spans="1:6" x14ac:dyDescent="0.25">
      <c r="A257" s="382" t="str">
        <f>Лист1!B30</f>
        <v>бита</v>
      </c>
      <c r="B257" s="254" t="s">
        <v>91</v>
      </c>
      <c r="C257" s="397"/>
      <c r="D257" s="386">
        <f>Лист1!G30*$A$205</f>
        <v>0.33500000000000002</v>
      </c>
      <c r="E257" s="473">
        <f>Лист1!H30</f>
        <v>101</v>
      </c>
      <c r="F257" s="253">
        <f t="shared" si="11"/>
        <v>33.835000000000001</v>
      </c>
    </row>
    <row r="258" spans="1:6" x14ac:dyDescent="0.25">
      <c r="A258" s="382" t="str">
        <f>Лист1!B31</f>
        <v>бита</v>
      </c>
      <c r="B258" s="254" t="s">
        <v>91</v>
      </c>
      <c r="C258" s="397"/>
      <c r="D258" s="386">
        <f>Лист1!G31*$A$205</f>
        <v>0.33500000000000002</v>
      </c>
      <c r="E258" s="473">
        <f>Лист1!H31</f>
        <v>61</v>
      </c>
      <c r="F258" s="253">
        <f t="shared" si="11"/>
        <v>20.435000000000002</v>
      </c>
    </row>
    <row r="259" spans="1:6" x14ac:dyDescent="0.25">
      <c r="A259" s="382" t="str">
        <f>Лист1!B32</f>
        <v>угольник</v>
      </c>
      <c r="B259" s="254" t="s">
        <v>91</v>
      </c>
      <c r="C259" s="397"/>
      <c r="D259" s="386">
        <f>Лист1!G32*$A$205</f>
        <v>0.33500000000000002</v>
      </c>
      <c r="E259" s="473">
        <f>Лист1!H32</f>
        <v>582</v>
      </c>
      <c r="F259" s="253">
        <f t="shared" si="11"/>
        <v>194.97</v>
      </c>
    </row>
    <row r="260" spans="1:6" x14ac:dyDescent="0.25">
      <c r="A260" s="382" t="str">
        <f>Лист1!B33</f>
        <v>угольник</v>
      </c>
      <c r="B260" s="254" t="s">
        <v>91</v>
      </c>
      <c r="C260" s="397"/>
      <c r="D260" s="386">
        <f>Лист1!G33*$A$205</f>
        <v>0.33500000000000002</v>
      </c>
      <c r="E260" s="473">
        <f>Лист1!H33</f>
        <v>449</v>
      </c>
      <c r="F260" s="253">
        <f t="shared" si="11"/>
        <v>150.41500000000002</v>
      </c>
    </row>
    <row r="261" spans="1:6" x14ac:dyDescent="0.25">
      <c r="A261" s="382" t="str">
        <f>Лист1!B34</f>
        <v>штангенциркуль</v>
      </c>
      <c r="B261" s="254" t="s">
        <v>91</v>
      </c>
      <c r="C261" s="386"/>
      <c r="D261" s="386">
        <f>Лист1!G34*$A$205</f>
        <v>0.33500000000000002</v>
      </c>
      <c r="E261" s="473">
        <f>Лист1!H34</f>
        <v>800</v>
      </c>
      <c r="F261" s="253">
        <f t="shared" si="11"/>
        <v>268</v>
      </c>
    </row>
    <row r="262" spans="1:6" x14ac:dyDescent="0.25">
      <c r="A262" s="382" t="str">
        <f>Лист1!B35</f>
        <v>пугнп 2*1,5</v>
      </c>
      <c r="B262" s="254" t="s">
        <v>91</v>
      </c>
      <c r="C262" s="386"/>
      <c r="D262" s="386">
        <f>Лист1!G35*$A$205</f>
        <v>67</v>
      </c>
      <c r="E262" s="473">
        <f>Лист1!H35</f>
        <v>28</v>
      </c>
      <c r="F262" s="253">
        <f t="shared" si="11"/>
        <v>1876</v>
      </c>
    </row>
    <row r="263" spans="1:6" x14ac:dyDescent="0.25">
      <c r="A263" s="382" t="str">
        <f>Лист1!B36</f>
        <v>пугнп 2*2,5</v>
      </c>
      <c r="B263" s="254" t="s">
        <v>91</v>
      </c>
      <c r="C263" s="386"/>
      <c r="D263" s="386">
        <f>Лист1!G36*$A$205</f>
        <v>67</v>
      </c>
      <c r="E263" s="473">
        <f>Лист1!H36</f>
        <v>43</v>
      </c>
      <c r="F263" s="253">
        <f t="shared" si="11"/>
        <v>2881</v>
      </c>
    </row>
    <row r="264" spans="1:6" x14ac:dyDescent="0.25">
      <c r="A264" s="382" t="str">
        <f>Лист1!B37</f>
        <v>зажимы</v>
      </c>
      <c r="B264" s="254" t="s">
        <v>91</v>
      </c>
      <c r="C264" s="386"/>
      <c r="D264" s="386">
        <f>Лист1!G37*$A$205</f>
        <v>1.675</v>
      </c>
      <c r="E264" s="473">
        <f>Лист1!H37</f>
        <v>50</v>
      </c>
      <c r="F264" s="253">
        <f t="shared" si="11"/>
        <v>83.75</v>
      </c>
    </row>
    <row r="265" spans="1:6" x14ac:dyDescent="0.25">
      <c r="A265" s="382" t="str">
        <f>Лист1!B38</f>
        <v>коробка установочная</v>
      </c>
      <c r="B265" s="254" t="s">
        <v>91</v>
      </c>
      <c r="C265" s="386"/>
      <c r="D265" s="386">
        <f>Лист1!G38*$A$205</f>
        <v>3.35</v>
      </c>
      <c r="E265" s="473">
        <f>Лист1!H38</f>
        <v>15</v>
      </c>
      <c r="F265" s="253">
        <f t="shared" si="11"/>
        <v>50.25</v>
      </c>
    </row>
    <row r="266" spans="1:6" x14ac:dyDescent="0.25">
      <c r="A266" s="382" t="str">
        <f>Лист1!B39</f>
        <v>розетка</v>
      </c>
      <c r="B266" s="254" t="s">
        <v>91</v>
      </c>
      <c r="C266" s="386"/>
      <c r="D266" s="386">
        <f>Лист1!G39*$A$205</f>
        <v>3.35</v>
      </c>
      <c r="E266" s="473">
        <f>Лист1!H39</f>
        <v>219</v>
      </c>
      <c r="F266" s="253">
        <f t="shared" si="11"/>
        <v>733.65</v>
      </c>
    </row>
    <row r="267" spans="1:6" x14ac:dyDescent="0.25">
      <c r="A267" s="382" t="str">
        <f>Лист1!B40</f>
        <v>розетка</v>
      </c>
      <c r="B267" s="254" t="s">
        <v>91</v>
      </c>
      <c r="C267" s="386"/>
      <c r="D267" s="386">
        <f>Лист1!G40*$A$205</f>
        <v>1.675</v>
      </c>
      <c r="E267" s="473">
        <f>Лист1!H40</f>
        <v>163</v>
      </c>
      <c r="F267" s="253">
        <f t="shared" ref="F267:F291" si="12">D267*E267</f>
        <v>273.02500000000003</v>
      </c>
    </row>
    <row r="268" spans="1:6" x14ac:dyDescent="0.25">
      <c r="A268" s="382" t="str">
        <f>Лист1!B41</f>
        <v>вилка прямая</v>
      </c>
      <c r="B268" s="254" t="s">
        <v>91</v>
      </c>
      <c r="C268" s="386"/>
      <c r="D268" s="386">
        <f>Лист1!G41*$A$205</f>
        <v>0.33500000000000002</v>
      </c>
      <c r="E268" s="473">
        <f>Лист1!H41</f>
        <v>180</v>
      </c>
      <c r="F268" s="253">
        <f t="shared" si="12"/>
        <v>60.300000000000004</v>
      </c>
    </row>
    <row r="269" spans="1:6" x14ac:dyDescent="0.25">
      <c r="A269" s="382" t="str">
        <f>Лист1!B42</f>
        <v>вилка белая</v>
      </c>
      <c r="B269" s="254" t="s">
        <v>91</v>
      </c>
      <c r="C269" s="386"/>
      <c r="D269" s="386">
        <f>Лист1!G42*$A$205</f>
        <v>1.34</v>
      </c>
      <c r="E269" s="473">
        <f>Лист1!H42</f>
        <v>90</v>
      </c>
      <c r="F269" s="253">
        <f t="shared" si="12"/>
        <v>120.60000000000001</v>
      </c>
    </row>
    <row r="270" spans="1:6" x14ac:dyDescent="0.25">
      <c r="A270" s="382" t="str">
        <f>Лист1!B43</f>
        <v>саморез 3,5*51</v>
      </c>
      <c r="B270" s="254" t="s">
        <v>91</v>
      </c>
      <c r="C270" s="386"/>
      <c r="D270" s="386">
        <f>Лист1!G43*$A$205</f>
        <v>244.55</v>
      </c>
      <c r="E270" s="473">
        <f>Лист1!H43</f>
        <v>1</v>
      </c>
      <c r="F270" s="253">
        <f t="shared" si="12"/>
        <v>244.55</v>
      </c>
    </row>
    <row r="271" spans="1:6" x14ac:dyDescent="0.25">
      <c r="A271" s="382" t="str">
        <f>Лист1!B44</f>
        <v>саморез 4,2*70</v>
      </c>
      <c r="B271" s="254" t="s">
        <v>91</v>
      </c>
      <c r="C271" s="386"/>
      <c r="D271" s="386">
        <f>Лист1!G44*$A$205</f>
        <v>301.5</v>
      </c>
      <c r="E271" s="473">
        <f>Лист1!H44</f>
        <v>1.5</v>
      </c>
      <c r="F271" s="253">
        <f t="shared" si="12"/>
        <v>452.25</v>
      </c>
    </row>
    <row r="272" spans="1:6" x14ac:dyDescent="0.25">
      <c r="A272" s="382" t="str">
        <f>Лист1!B45</f>
        <v>набор пилок</v>
      </c>
      <c r="B272" s="254" t="s">
        <v>91</v>
      </c>
      <c r="C272" s="386"/>
      <c r="D272" s="386">
        <f>Лист1!G45*$A$205</f>
        <v>1.0050000000000001</v>
      </c>
      <c r="E272" s="473">
        <f>Лист1!H45</f>
        <v>200</v>
      </c>
      <c r="F272" s="253">
        <f t="shared" si="12"/>
        <v>201.00000000000003</v>
      </c>
    </row>
    <row r="273" spans="1:10" x14ac:dyDescent="0.25">
      <c r="A273" s="382" t="str">
        <f>Лист1!B46</f>
        <v>комплект радиатора</v>
      </c>
      <c r="B273" s="254" t="s">
        <v>91</v>
      </c>
      <c r="C273" s="386"/>
      <c r="D273" s="386">
        <f>Лист1!G46*$A$205</f>
        <v>3.35</v>
      </c>
      <c r="E273" s="473">
        <f>Лист1!H46</f>
        <v>279</v>
      </c>
      <c r="F273" s="253">
        <f t="shared" si="12"/>
        <v>934.65</v>
      </c>
    </row>
    <row r="274" spans="1:10" x14ac:dyDescent="0.25">
      <c r="A274" s="382" t="str">
        <f>Лист1!B47</f>
        <v>кран шаровый</v>
      </c>
      <c r="B274" s="254" t="s">
        <v>91</v>
      </c>
      <c r="C274" s="386"/>
      <c r="D274" s="386">
        <f>Лист1!G47*$A$205</f>
        <v>6.7</v>
      </c>
      <c r="E274" s="473">
        <f>Лист1!H47</f>
        <v>950</v>
      </c>
      <c r="F274" s="253">
        <f t="shared" si="12"/>
        <v>6365</v>
      </c>
    </row>
    <row r="275" spans="1:10" x14ac:dyDescent="0.25">
      <c r="A275" s="382" t="str">
        <f>Лист1!B48</f>
        <v>Лопата</v>
      </c>
      <c r="B275" s="254" t="s">
        <v>91</v>
      </c>
      <c r="C275" s="386"/>
      <c r="D275" s="386">
        <f>Лист1!G48*$A$205</f>
        <v>0.33500000000000002</v>
      </c>
      <c r="E275" s="473">
        <f>Лист1!H48</f>
        <v>1430</v>
      </c>
      <c r="F275" s="253">
        <f t="shared" si="12"/>
        <v>479.05</v>
      </c>
    </row>
    <row r="276" spans="1:10" x14ac:dyDescent="0.25">
      <c r="A276" s="382" t="str">
        <f>Лист1!B49</f>
        <v>Пружина</v>
      </c>
      <c r="B276" s="254" t="s">
        <v>91</v>
      </c>
      <c r="C276" s="386"/>
      <c r="D276" s="386">
        <f>Лист1!G49*$A$205</f>
        <v>8.375</v>
      </c>
      <c r="E276" s="473">
        <f>Лист1!H49</f>
        <v>55</v>
      </c>
      <c r="F276" s="253">
        <f t="shared" si="12"/>
        <v>460.625</v>
      </c>
    </row>
    <row r="277" spans="1:10" x14ac:dyDescent="0.25">
      <c r="A277" s="382" t="str">
        <f>Лист1!B50</f>
        <v>смазка, мешки д/мусора, манжета</v>
      </c>
      <c r="B277" s="254" t="s">
        <v>91</v>
      </c>
      <c r="C277" s="386"/>
      <c r="D277" s="386">
        <v>0.33500000000000002</v>
      </c>
      <c r="E277" s="473">
        <f>Лист1!H50</f>
        <v>6207</v>
      </c>
      <c r="F277" s="253">
        <f t="shared" si="12"/>
        <v>2079.3450000000003</v>
      </c>
    </row>
    <row r="278" spans="1:10" x14ac:dyDescent="0.25">
      <c r="A278" s="382" t="str">
        <f>Лист1!B51</f>
        <v>ГСМ Дизтопливо</v>
      </c>
      <c r="B278" s="254" t="s">
        <v>91</v>
      </c>
      <c r="C278" s="386"/>
      <c r="D278" s="386">
        <v>0.33500000000000002</v>
      </c>
      <c r="E278" s="473">
        <f>Лист1!H51</f>
        <v>6200</v>
      </c>
      <c r="F278" s="253">
        <f t="shared" si="12"/>
        <v>2077</v>
      </c>
    </row>
    <row r="279" spans="1:10" x14ac:dyDescent="0.25">
      <c r="A279" s="382" t="str">
        <f>Лист1!B52</f>
        <v>ГСМ 12,1457л.*247дней*44,27 руб.</v>
      </c>
      <c r="B279" s="254" t="s">
        <v>91</v>
      </c>
      <c r="C279" s="386"/>
      <c r="D279" s="386">
        <f>Лист1!G52*$A$205</f>
        <v>23.499580000000002</v>
      </c>
      <c r="E279" s="473">
        <f>Лист1!H52</f>
        <v>50</v>
      </c>
      <c r="F279" s="253">
        <f t="shared" si="12"/>
        <v>1174.979</v>
      </c>
    </row>
    <row r="280" spans="1:10" x14ac:dyDescent="0.25">
      <c r="A280" s="382" t="str">
        <f>Лист1!B53</f>
        <v>грабли, черенок, лопата</v>
      </c>
      <c r="B280" s="254" t="s">
        <v>91</v>
      </c>
      <c r="C280" s="386"/>
      <c r="D280" s="386">
        <v>0.33500000000000002</v>
      </c>
      <c r="E280" s="473">
        <f>Лист1!H53</f>
        <v>9100</v>
      </c>
      <c r="F280" s="253">
        <f t="shared" si="12"/>
        <v>3048.5</v>
      </c>
    </row>
    <row r="281" spans="1:10" ht="14.45" customHeight="1" x14ac:dyDescent="0.25">
      <c r="A281" s="382" t="str">
        <f>Лист1!B54</f>
        <v>Чехол для кресла-мешка</v>
      </c>
      <c r="B281" s="254" t="s">
        <v>91</v>
      </c>
      <c r="C281" s="386"/>
      <c r="D281" s="386">
        <f>Лист1!G54*$A$205</f>
        <v>2.0100000000000002</v>
      </c>
      <c r="E281" s="473">
        <f>Лист1!H54</f>
        <v>2000</v>
      </c>
      <c r="F281" s="253">
        <f t="shared" si="12"/>
        <v>4020.0000000000005</v>
      </c>
      <c r="H281" s="376"/>
      <c r="I281" s="123"/>
      <c r="J281" s="124"/>
    </row>
    <row r="282" spans="1:10" x14ac:dyDescent="0.25">
      <c r="A282" s="382" t="str">
        <f>Лист1!B55</f>
        <v>Наполнитель для кресла-мешка</v>
      </c>
      <c r="B282" s="254" t="s">
        <v>91</v>
      </c>
      <c r="C282" s="386"/>
      <c r="D282" s="386">
        <f>Лист1!G55*$A$205</f>
        <v>0.67</v>
      </c>
      <c r="E282" s="473">
        <f>Лист1!H55</f>
        <v>1500</v>
      </c>
      <c r="F282" s="253">
        <f t="shared" si="12"/>
        <v>1005.0000000000001</v>
      </c>
      <c r="H282" s="376"/>
      <c r="I282" s="123"/>
      <c r="J282" s="124"/>
    </row>
    <row r="283" spans="1:10" x14ac:dyDescent="0.25">
      <c r="A283" s="382" t="str">
        <f>Лист1!B56</f>
        <v>Фотобумага IST глянцевая 100 листов односторонняя 230гр/м</v>
      </c>
      <c r="B283" s="254" t="s">
        <v>91</v>
      </c>
      <c r="C283" s="386"/>
      <c r="D283" s="386">
        <f>Лист1!G56*$A$205</f>
        <v>3.35</v>
      </c>
      <c r="E283" s="473">
        <f>Лист1!H56</f>
        <v>900</v>
      </c>
      <c r="F283" s="253">
        <f t="shared" si="12"/>
        <v>3015</v>
      </c>
      <c r="H283" s="376"/>
      <c r="I283" s="123"/>
      <c r="J283" s="124"/>
    </row>
    <row r="284" spans="1:10" ht="16.899999999999999" customHeight="1" x14ac:dyDescent="0.25">
      <c r="A284" s="382" t="str">
        <f>Лист1!B57</f>
        <v>Фотобумага IST глянцевая 100 листов односторонняя 180гр/м</v>
      </c>
      <c r="B284" s="254" t="s">
        <v>91</v>
      </c>
      <c r="C284" s="386"/>
      <c r="D284" s="386">
        <f>Лист1!G57*$A$205</f>
        <v>3.35</v>
      </c>
      <c r="E284" s="473">
        <f>Лист1!H57</f>
        <v>700</v>
      </c>
      <c r="F284" s="253">
        <f t="shared" si="12"/>
        <v>2345</v>
      </c>
      <c r="H284" s="376"/>
      <c r="I284" s="123"/>
      <c r="J284" s="124"/>
    </row>
    <row r="285" spans="1:10" ht="15.6" customHeight="1" x14ac:dyDescent="0.25">
      <c r="A285" s="382" t="str">
        <f>Лист1!B58</f>
        <v>Фотобумага IST глянцевая 100 листов односторонняя 190гр/м</v>
      </c>
      <c r="B285" s="254" t="s">
        <v>91</v>
      </c>
      <c r="C285" s="386"/>
      <c r="D285" s="386">
        <f>Лист1!G58*$A$205</f>
        <v>6.7</v>
      </c>
      <c r="E285" s="473">
        <f>Лист1!H58</f>
        <v>350</v>
      </c>
      <c r="F285" s="253">
        <f t="shared" si="12"/>
        <v>2345</v>
      </c>
      <c r="H285" s="376"/>
      <c r="I285" s="123"/>
      <c r="J285" s="124"/>
    </row>
    <row r="286" spans="1:10" x14ac:dyDescent="0.25">
      <c r="A286" s="382" t="str">
        <f>Лист1!B59</f>
        <v>Тонер ECOSYS</v>
      </c>
      <c r="B286" s="254" t="s">
        <v>91</v>
      </c>
      <c r="C286" s="386"/>
      <c r="D286" s="386">
        <f>Лист1!G59*$A$205</f>
        <v>0.67</v>
      </c>
      <c r="E286" s="473">
        <f>Лист1!H59</f>
        <v>1500</v>
      </c>
      <c r="F286" s="253">
        <f t="shared" si="12"/>
        <v>1005.0000000000001</v>
      </c>
      <c r="H286" s="376"/>
      <c r="I286" s="123"/>
      <c r="J286" s="124"/>
    </row>
    <row r="287" spans="1:10" x14ac:dyDescent="0.25">
      <c r="A287" s="382" t="str">
        <f>Лист1!B60</f>
        <v>Картридж НР С2Р42АЕ</v>
      </c>
      <c r="B287" s="254" t="s">
        <v>91</v>
      </c>
      <c r="C287" s="386"/>
      <c r="D287" s="386">
        <f>Лист1!G60*$A$205</f>
        <v>0.67</v>
      </c>
      <c r="E287" s="473">
        <f>Лист1!H60</f>
        <v>4800</v>
      </c>
      <c r="F287" s="253">
        <f t="shared" si="12"/>
        <v>3216</v>
      </c>
      <c r="H287" s="376"/>
      <c r="I287" s="123"/>
      <c r="J287" s="124"/>
    </row>
    <row r="288" spans="1:10" x14ac:dyDescent="0.25">
      <c r="A288" s="382" t="str">
        <f>Лист1!B61</f>
        <v>Аккумулятор X-TREME Arctik  78.1</v>
      </c>
      <c r="B288" s="254" t="s">
        <v>91</v>
      </c>
      <c r="C288" s="386"/>
      <c r="D288" s="386">
        <f>Лист1!G61*$A$205</f>
        <v>0.33500000000000002</v>
      </c>
      <c r="E288" s="473">
        <f>Лист1!H61</f>
        <v>6900</v>
      </c>
      <c r="F288" s="253">
        <f t="shared" si="12"/>
        <v>2311.5</v>
      </c>
      <c r="H288" s="376"/>
      <c r="I288" s="123"/>
      <c r="J288" s="124"/>
    </row>
    <row r="289" spans="1:10" x14ac:dyDescent="0.25">
      <c r="A289" s="382" t="str">
        <f>Лист1!B62</f>
        <v>Амортизатор УАЗ 3159 задн. TRIALLI газомасл.3159-2915006 (3159-2915006)</v>
      </c>
      <c r="B289" s="254" t="s">
        <v>91</v>
      </c>
      <c r="C289" s="386"/>
      <c r="D289" s="386">
        <f>Лист1!G62*$A$205</f>
        <v>1.34</v>
      </c>
      <c r="E289" s="473">
        <f>Лист1!H62</f>
        <v>1560</v>
      </c>
      <c r="F289" s="253">
        <f t="shared" si="12"/>
        <v>2090.4</v>
      </c>
      <c r="H289" s="376"/>
      <c r="I289" s="123"/>
      <c r="J289" s="124"/>
    </row>
    <row r="290" spans="1:10" x14ac:dyDescent="0.25">
      <c r="A290" s="382" t="str">
        <f>Лист1!B63</f>
        <v>Болт М10*1*25 кардана УАЗ в/сб(уп. 20 шт)</v>
      </c>
      <c r="B290" s="254" t="s">
        <v>91</v>
      </c>
      <c r="C290" s="386"/>
      <c r="D290" s="386">
        <f>Лист1!G63*$A$205</f>
        <v>5.36</v>
      </c>
      <c r="E290" s="473">
        <f>Лист1!H63</f>
        <v>20</v>
      </c>
      <c r="F290" s="253">
        <f t="shared" si="12"/>
        <v>107.2</v>
      </c>
      <c r="H290" s="376"/>
      <c r="I290" s="123"/>
      <c r="J290" s="124"/>
    </row>
    <row r="291" spans="1:10" x14ac:dyDescent="0.25">
      <c r="A291" s="382" t="str">
        <f>Лист1!B64</f>
        <v>Винт М8*1,25*12 потай шлиц.торм.барабана Волга Г-2410 290605 (290605-п29)</v>
      </c>
      <c r="B291" s="254" t="s">
        <v>91</v>
      </c>
      <c r="C291" s="386"/>
      <c r="D291" s="386">
        <f>Лист1!G64*$A$205</f>
        <v>8.0400000000000009</v>
      </c>
      <c r="E291" s="473">
        <f>Лист1!H64</f>
        <v>12</v>
      </c>
      <c r="F291" s="253">
        <f t="shared" si="12"/>
        <v>96.480000000000018</v>
      </c>
      <c r="H291" s="376"/>
      <c r="I291" s="123"/>
      <c r="J291" s="124"/>
    </row>
    <row r="292" spans="1:10" x14ac:dyDescent="0.25">
      <c r="A292" s="382" t="str">
        <f>Лист1!B65</f>
        <v>Вкладыш шкворня УАЗ-3160(латунь н/о 2 усика)3160 2304023-10 (3160 2304023-10)</v>
      </c>
      <c r="B292" s="254" t="s">
        <v>91</v>
      </c>
      <c r="C292" s="386"/>
      <c r="D292" s="386">
        <f>Лист1!G65*$A$205</f>
        <v>2.68</v>
      </c>
      <c r="E292" s="473">
        <f>Лист1!H65</f>
        <v>50</v>
      </c>
      <c r="F292" s="253">
        <f t="shared" ref="F292:F356" si="13">D292*E292</f>
        <v>134</v>
      </c>
      <c r="H292" s="376"/>
      <c r="I292" s="123"/>
      <c r="J292" s="124"/>
    </row>
    <row r="293" spans="1:10" x14ac:dyDescent="0.25">
      <c r="A293" s="382" t="str">
        <f>Лист1!B66</f>
        <v>Втулка амортизатора Волга ,УАЗ полиуретан 451-2905432 (451-2905432)</v>
      </c>
      <c r="B293" s="254" t="s">
        <v>91</v>
      </c>
      <c r="C293" s="386"/>
      <c r="D293" s="386">
        <f>Лист1!G66*$A$205</f>
        <v>6.7</v>
      </c>
      <c r="E293" s="473">
        <f>Лист1!H66</f>
        <v>36</v>
      </c>
      <c r="F293" s="253">
        <f t="shared" si="13"/>
        <v>241.20000000000002</v>
      </c>
      <c r="H293" s="376"/>
      <c r="I293" s="123"/>
      <c r="J293" s="124"/>
    </row>
    <row r="294" spans="1:10" x14ac:dyDescent="0.25">
      <c r="A294" s="382" t="str">
        <f>Лист1!B67</f>
        <v>Гайка колесная  М14*1,5 (18, ключ 22) Волга, Соболь, УАЗ</v>
      </c>
      <c r="B294" s="254" t="s">
        <v>91</v>
      </c>
      <c r="C294" s="386"/>
      <c r="D294" s="386">
        <f>Лист1!G67*$A$205</f>
        <v>6.7</v>
      </c>
      <c r="E294" s="473">
        <f>Лист1!H67</f>
        <v>18</v>
      </c>
      <c r="F294" s="253">
        <f t="shared" si="13"/>
        <v>120.60000000000001</v>
      </c>
      <c r="H294" s="376"/>
      <c r="I294" s="123"/>
      <c r="J294" s="124"/>
    </row>
    <row r="295" spans="1:10" x14ac:dyDescent="0.25">
      <c r="A295" s="382" t="str">
        <f>Лист1!B68</f>
        <v>Катушка зажигания 405 дв.(АТЭ-1)3032.3705 (3032.3705)</v>
      </c>
      <c r="B295" s="254" t="s">
        <v>91</v>
      </c>
      <c r="C295" s="386"/>
      <c r="D295" s="386">
        <f>Лист1!G68*$A$205</f>
        <v>1.34</v>
      </c>
      <c r="E295" s="473">
        <f>Лист1!H68</f>
        <v>875</v>
      </c>
      <c r="F295" s="253">
        <f t="shared" si="13"/>
        <v>1172.5</v>
      </c>
      <c r="H295" s="376"/>
      <c r="I295" s="123"/>
      <c r="J295" s="124"/>
    </row>
    <row r="296" spans="1:10" ht="25.5" x14ac:dyDescent="0.25">
      <c r="A296" s="382" t="str">
        <f>Лист1!B69</f>
        <v>Колодка переднего тормоза (к-т 4 шт.)УАЗ Оригинал(ТИИР) 3163 3501088 (3163 3501088)</v>
      </c>
      <c r="B296" s="254" t="s">
        <v>91</v>
      </c>
      <c r="C296" s="386"/>
      <c r="D296" s="386">
        <f>Лист1!G69*$A$205</f>
        <v>1.34</v>
      </c>
      <c r="E296" s="473">
        <f>Лист1!H69</f>
        <v>672</v>
      </c>
      <c r="F296" s="253">
        <f t="shared" si="13"/>
        <v>900.48</v>
      </c>
      <c r="H296" s="376"/>
      <c r="I296" s="123"/>
      <c r="J296" s="124"/>
    </row>
    <row r="297" spans="1:10" x14ac:dyDescent="0.25">
      <c r="A297" s="382" t="str">
        <f>Лист1!B70</f>
        <v>Кольцо крестовины карданного вала</v>
      </c>
      <c r="B297" s="254" t="s">
        <v>91</v>
      </c>
      <c r="C297" s="386"/>
      <c r="D297" s="386">
        <f>Лист1!G70*$A$205</f>
        <v>2.68</v>
      </c>
      <c r="E297" s="473">
        <f>Лист1!H70</f>
        <v>10</v>
      </c>
      <c r="F297" s="253">
        <f t="shared" si="13"/>
        <v>26.8</v>
      </c>
      <c r="H297" s="376"/>
      <c r="I297" s="123"/>
      <c r="J297" s="124"/>
    </row>
    <row r="298" spans="1:10" ht="25.5" x14ac:dyDescent="0.25">
      <c r="A298" s="382" t="str">
        <f>Лист1!B71</f>
        <v>Комплект ГРМ(полный)ЗМЗ 405-409 ЕВРО-3 "Идеальная фаза"(двухрядная цепь 72/92 Ditton)406.3906625-05 (406.3906625-05)</v>
      </c>
      <c r="B298" s="254" t="s">
        <v>91</v>
      </c>
      <c r="C298" s="386"/>
      <c r="D298" s="386">
        <f>Лист1!G71*$A$205</f>
        <v>0.33500000000000002</v>
      </c>
      <c r="E298" s="473">
        <f>Лист1!H71</f>
        <v>6377</v>
      </c>
      <c r="F298" s="253">
        <f t="shared" si="13"/>
        <v>2136.2950000000001</v>
      </c>
      <c r="H298" s="376"/>
      <c r="I298" s="123"/>
      <c r="J298" s="124"/>
    </row>
    <row r="299" spans="1:10" x14ac:dyDescent="0.25">
      <c r="A299" s="382" t="str">
        <f>Лист1!B72</f>
        <v>Комплект прокладок на дв.4091 Саморим УАЗ 452</v>
      </c>
      <c r="B299" s="254" t="s">
        <v>91</v>
      </c>
      <c r="C299" s="386"/>
      <c r="D299" s="386">
        <f>Лист1!G72*$A$205</f>
        <v>0.33500000000000002</v>
      </c>
      <c r="E299" s="473">
        <f>Лист1!H72</f>
        <v>1037</v>
      </c>
      <c r="F299" s="253">
        <f t="shared" si="13"/>
        <v>347.39500000000004</v>
      </c>
      <c r="H299" s="376"/>
      <c r="I299" s="123"/>
      <c r="J299" s="124"/>
    </row>
    <row r="300" spans="1:10" ht="25.5" x14ac:dyDescent="0.25">
      <c r="A300" s="382" t="str">
        <f>Лист1!B73</f>
        <v>Крестовина кардан.вала УАЗ(АДС)с масленкой и стопорными кольцами 42000.0469-2201025-00 (ВК469-2201025)</v>
      </c>
      <c r="B300" s="254" t="s">
        <v>91</v>
      </c>
      <c r="C300" s="386"/>
      <c r="D300" s="386">
        <f>Лист1!G73*$A$205</f>
        <v>1.34</v>
      </c>
      <c r="E300" s="473">
        <f>Лист1!H73</f>
        <v>570</v>
      </c>
      <c r="F300" s="253">
        <f t="shared" si="13"/>
        <v>763.80000000000007</v>
      </c>
      <c r="H300" s="376"/>
      <c r="I300" s="123"/>
      <c r="J300" s="124"/>
    </row>
    <row r="301" spans="1:10" x14ac:dyDescent="0.25">
      <c r="A301" s="382" t="str">
        <f>Лист1!B74</f>
        <v>Накладка педали сцепления УАЗ 2206</v>
      </c>
      <c r="B301" s="254" t="s">
        <v>91</v>
      </c>
      <c r="C301" s="386"/>
      <c r="D301" s="386">
        <f>Лист1!G74*$A$205</f>
        <v>0.33500000000000002</v>
      </c>
      <c r="E301" s="473">
        <f>Лист1!H74</f>
        <v>29</v>
      </c>
      <c r="F301" s="253">
        <f t="shared" si="13"/>
        <v>9.7149999999999999</v>
      </c>
      <c r="H301" s="376"/>
      <c r="I301" s="123"/>
      <c r="J301" s="124"/>
    </row>
    <row r="302" spans="1:10" x14ac:dyDescent="0.25">
      <c r="A302" s="382" t="str">
        <f>Лист1!B75</f>
        <v>Наконечник рулевой тяги левый "АДС-Expert" 469-3414057-01 (469-3414057-01)</v>
      </c>
      <c r="B302" s="254" t="s">
        <v>91</v>
      </c>
      <c r="C302" s="386"/>
      <c r="D302" s="386">
        <f>Лист1!G75*$A$205</f>
        <v>0.67</v>
      </c>
      <c r="E302" s="473">
        <f>Лист1!H75</f>
        <v>450</v>
      </c>
      <c r="F302" s="253">
        <f t="shared" si="13"/>
        <v>301.5</v>
      </c>
      <c r="H302" s="376"/>
      <c r="I302" s="123"/>
      <c r="J302" s="124"/>
    </row>
    <row r="303" spans="1:10" x14ac:dyDescent="0.25">
      <c r="A303" s="382" t="str">
        <f>Лист1!B76</f>
        <v>Наконечник рулевой тяги правый "АДС-Expert" 469-3414056-01 (469-3414056-01)</v>
      </c>
      <c r="B303" s="254" t="s">
        <v>91</v>
      </c>
      <c r="C303" s="386"/>
      <c r="D303" s="386">
        <f>Лист1!G76*$A$205</f>
        <v>2.0100000000000002</v>
      </c>
      <c r="E303" s="473">
        <f>Лист1!H76</f>
        <v>450</v>
      </c>
      <c r="F303" s="253">
        <f t="shared" si="13"/>
        <v>904.50000000000011</v>
      </c>
      <c r="H303" s="376"/>
      <c r="I303" s="123"/>
      <c r="J303" s="124"/>
    </row>
    <row r="304" spans="1:10" x14ac:dyDescent="0.25">
      <c r="A304" s="382" t="str">
        <f>Лист1!B77</f>
        <v>Патрубки радиатора УАЗ Патриот 409дв.без кондиционера(силикон)(к-т 3шт)</v>
      </c>
      <c r="B304" s="254" t="s">
        <v>91</v>
      </c>
      <c r="C304" s="386"/>
      <c r="D304" s="386">
        <f>Лист1!G77*$A$205</f>
        <v>0.33500000000000002</v>
      </c>
      <c r="E304" s="473">
        <f>Лист1!H77</f>
        <v>1920</v>
      </c>
      <c r="F304" s="253">
        <f t="shared" si="13"/>
        <v>643.20000000000005</v>
      </c>
      <c r="H304" s="376"/>
      <c r="I304" s="123"/>
      <c r="J304" s="124"/>
    </row>
    <row r="305" spans="1:10" x14ac:dyDescent="0.25">
      <c r="A305" s="382" t="str">
        <f>Лист1!B78</f>
        <v>Подшипник ступичный 127509</v>
      </c>
      <c r="B305" s="254" t="s">
        <v>91</v>
      </c>
      <c r="C305" s="386"/>
      <c r="D305" s="386">
        <f>Лист1!G78*$A$205</f>
        <v>2.68</v>
      </c>
      <c r="E305" s="473">
        <f>Лист1!H78</f>
        <v>592</v>
      </c>
      <c r="F305" s="253">
        <f t="shared" si="13"/>
        <v>1586.5600000000002</v>
      </c>
      <c r="H305" s="376"/>
      <c r="I305" s="123"/>
      <c r="J305" s="124"/>
    </row>
    <row r="306" spans="1:10" x14ac:dyDescent="0.25">
      <c r="A306" s="382" t="str">
        <f>Лист1!B79</f>
        <v>Провода в/в 4091 дв.с наконеч.силикон.4091-3707244 (4091-3707244)</v>
      </c>
      <c r="B306" s="254" t="s">
        <v>91</v>
      </c>
      <c r="C306" s="386"/>
      <c r="D306" s="386">
        <f>Лист1!G79*$A$205</f>
        <v>0.67</v>
      </c>
      <c r="E306" s="473">
        <f>Лист1!H79</f>
        <v>1025</v>
      </c>
      <c r="F306" s="253">
        <f t="shared" si="13"/>
        <v>686.75</v>
      </c>
      <c r="H306" s="376"/>
      <c r="I306" s="123"/>
      <c r="J306" s="124"/>
    </row>
    <row r="307" spans="1:10" x14ac:dyDescent="0.25">
      <c r="A307" s="382" t="str">
        <f>Лист1!B80</f>
        <v>Прокладка крышки полуоси(паронит)3151-2407048 (3151-2407048)</v>
      </c>
      <c r="B307" s="254" t="s">
        <v>91</v>
      </c>
      <c r="C307" s="386"/>
      <c r="D307" s="386">
        <f>Лист1!G80*$A$205</f>
        <v>3.35</v>
      </c>
      <c r="E307" s="473">
        <f>Лист1!H80</f>
        <v>15</v>
      </c>
      <c r="F307" s="253">
        <f t="shared" si="13"/>
        <v>50.25</v>
      </c>
      <c r="H307" s="376"/>
      <c r="I307" s="123"/>
      <c r="J307" s="124"/>
    </row>
    <row r="308" spans="1:10" ht="25.5" x14ac:dyDescent="0.25">
      <c r="A308" s="382" t="str">
        <f>Лист1!B81</f>
        <v>Ремень (1275  мм 6РК) ЗМЗ-40524, 40525 ЕВРО -3 без ГУР "LUZAR" (40624 1308020-01)</v>
      </c>
      <c r="B308" s="254" t="s">
        <v>91</v>
      </c>
      <c r="C308" s="386"/>
      <c r="D308" s="386">
        <f>Лист1!G81*$A$205</f>
        <v>1.0050000000000001</v>
      </c>
      <c r="E308" s="473">
        <f>Лист1!H81</f>
        <v>467</v>
      </c>
      <c r="F308" s="253">
        <f t="shared" si="13"/>
        <v>469.33500000000004</v>
      </c>
      <c r="H308" s="376"/>
      <c r="I308" s="123"/>
      <c r="J308" s="124"/>
    </row>
    <row r="309" spans="1:10" ht="25.5" x14ac:dyDescent="0.25">
      <c r="A309" s="382" t="str">
        <f>Лист1!B82</f>
        <v>Ремень 1195 - 6 РК привода ГУР "OLEX POLY V BELT"3163-00-1308020-02 (3163-00-1308020-02)</v>
      </c>
      <c r="B309" s="254" t="s">
        <v>91</v>
      </c>
      <c r="C309" s="386"/>
      <c r="D309" s="386">
        <f>Лист1!G82*$A$205</f>
        <v>1.0050000000000001</v>
      </c>
      <c r="E309" s="473">
        <f>Лист1!H82</f>
        <v>285</v>
      </c>
      <c r="F309" s="253">
        <f t="shared" si="13"/>
        <v>286.42500000000001</v>
      </c>
      <c r="H309" s="376"/>
      <c r="I309" s="123"/>
      <c r="J309" s="124"/>
    </row>
    <row r="310" spans="1:10" x14ac:dyDescent="0.25">
      <c r="A310" s="382" t="str">
        <f>Лист1!B83</f>
        <v>Ремень буксировочный 6/9т 6м (а/м до 3т)  Крюк/Крюк +сумка(олива) Tplus</v>
      </c>
      <c r="B310" s="254" t="s">
        <v>91</v>
      </c>
      <c r="C310" s="386"/>
      <c r="D310" s="386">
        <f>Лист1!G83*$A$205</f>
        <v>0.33500000000000002</v>
      </c>
      <c r="E310" s="473">
        <f>Лист1!H83</f>
        <v>1260</v>
      </c>
      <c r="F310" s="253">
        <f t="shared" si="13"/>
        <v>422.1</v>
      </c>
      <c r="H310" s="376"/>
      <c r="I310" s="123"/>
      <c r="J310" s="124"/>
    </row>
    <row r="311" spans="1:10" ht="25.5" x14ac:dyDescent="0.25">
      <c r="A311" s="382" t="str">
        <f>Лист1!B84</f>
        <v>Ремкомплект поворотного кулака УАЗ мост Спайсер с полиуретановым сальником 3160-2304052 (3160-2304052)</v>
      </c>
      <c r="B311" s="254" t="s">
        <v>91</v>
      </c>
      <c r="C311" s="386"/>
      <c r="D311" s="386">
        <f>Лист1!G84*$A$205</f>
        <v>1.34</v>
      </c>
      <c r="E311" s="473">
        <f>Лист1!H84</f>
        <v>191</v>
      </c>
      <c r="F311" s="253">
        <f t="shared" si="13"/>
        <v>255.94000000000003</v>
      </c>
      <c r="H311" s="376"/>
      <c r="I311" s="123"/>
      <c r="J311" s="124"/>
    </row>
    <row r="312" spans="1:10" ht="25.5" x14ac:dyDescent="0.25">
      <c r="A312" s="382" t="str">
        <f>Лист1!B85</f>
        <v>Ремкомплект шкворня УАЗ Хантер,Патриот мост Спайсер н/о(2 уса) с вкладышами)"Ваксойл"3163-230401 (3163-230401)</v>
      </c>
      <c r="B312" s="254" t="s">
        <v>91</v>
      </c>
      <c r="C312" s="386"/>
      <c r="D312" s="386">
        <f>Лист1!G85*$A$205</f>
        <v>0.67</v>
      </c>
      <c r="E312" s="473">
        <f>Лист1!H85</f>
        <v>2845</v>
      </c>
      <c r="F312" s="253">
        <f t="shared" si="13"/>
        <v>1906.15</v>
      </c>
      <c r="H312" s="376"/>
      <c r="I312" s="123"/>
      <c r="J312" s="124"/>
    </row>
    <row r="313" spans="1:10" ht="25.5" x14ac:dyDescent="0.25">
      <c r="A313" s="382" t="str">
        <f>Лист1!B86</f>
        <v>Сайлентблок передней подвески УАЗ резинометаллический (малый) 3160-2909027 (3160-2909027)</v>
      </c>
      <c r="B313" s="254" t="s">
        <v>91</v>
      </c>
      <c r="C313" s="386"/>
      <c r="D313" s="386">
        <f>Лист1!G86*$A$205</f>
        <v>2.0100000000000002</v>
      </c>
      <c r="E313" s="473">
        <f>Лист1!H86</f>
        <v>405</v>
      </c>
      <c r="F313" s="253">
        <f t="shared" si="13"/>
        <v>814.05000000000007</v>
      </c>
      <c r="H313" s="376"/>
      <c r="I313" s="123"/>
      <c r="J313" s="124"/>
    </row>
    <row r="314" spans="1:10" x14ac:dyDescent="0.25">
      <c r="A314" s="382" t="str">
        <f>Лист1!B87</f>
        <v>Сайлентблок рессоры УАЗ-Патриот 3163(завод)3163-2912020 (3163-2912020)</v>
      </c>
      <c r="B314" s="254" t="s">
        <v>91</v>
      </c>
      <c r="C314" s="386"/>
      <c r="D314" s="386">
        <f>Лист1!G87*$A$205</f>
        <v>2.68</v>
      </c>
      <c r="E314" s="473">
        <f>Лист1!H87</f>
        <v>288</v>
      </c>
      <c r="F314" s="253">
        <f t="shared" si="13"/>
        <v>771.84</v>
      </c>
      <c r="H314" s="376"/>
      <c r="I314" s="123"/>
      <c r="J314" s="124"/>
    </row>
    <row r="315" spans="1:10" ht="25.5" x14ac:dyDescent="0.25">
      <c r="A315" s="382" t="str">
        <f>Лист1!B88</f>
        <v>Сальник (55х70х8) коленвала передний 406дв."Кортеко"(Германия)406.1005034-02 (406.1005034-02)</v>
      </c>
      <c r="B315" s="254" t="s">
        <v>91</v>
      </c>
      <c r="C315" s="386"/>
      <c r="D315" s="386">
        <f>Лист1!G88*$A$205</f>
        <v>0.67</v>
      </c>
      <c r="E315" s="473">
        <f>Лист1!H88</f>
        <v>198</v>
      </c>
      <c r="F315" s="253">
        <f t="shared" si="13"/>
        <v>132.66</v>
      </c>
      <c r="H315" s="376"/>
      <c r="I315" s="123"/>
      <c r="J315" s="124"/>
    </row>
    <row r="316" spans="1:10" x14ac:dyDescent="0.25">
      <c r="A316" s="382" t="str">
        <f>Лист1!B89</f>
        <v>Сальник (60х85х10) ступицы  NAK International 3741-3103038 (3741-3103038)</v>
      </c>
      <c r="B316" s="254" t="s">
        <v>91</v>
      </c>
      <c r="C316" s="386"/>
      <c r="D316" s="386">
        <f>Лист1!G89*$A$205</f>
        <v>8.0400000000000009</v>
      </c>
      <c r="E316" s="473">
        <f>Лист1!H89</f>
        <v>192</v>
      </c>
      <c r="F316" s="253">
        <f t="shared" si="13"/>
        <v>1543.6800000000003</v>
      </c>
      <c r="H316" s="376"/>
      <c r="I316" s="123"/>
      <c r="J316" s="124"/>
    </row>
    <row r="317" spans="1:10" x14ac:dyDescent="0.25">
      <c r="A317" s="382" t="str">
        <f>Лист1!B90</f>
        <v>Сальник к/вала задний 100л.с. 80х100х10(NAK intarnational)</v>
      </c>
      <c r="B317" s="254" t="s">
        <v>91</v>
      </c>
      <c r="C317" s="386"/>
      <c r="D317" s="386">
        <f>Лист1!G90*$A$205</f>
        <v>0.67</v>
      </c>
      <c r="E317" s="473">
        <f>Лист1!H90</f>
        <v>187</v>
      </c>
      <c r="F317" s="253">
        <f t="shared" si="13"/>
        <v>125.29</v>
      </c>
      <c r="H317" s="376"/>
      <c r="I317" s="123"/>
      <c r="J317" s="124"/>
    </row>
    <row r="318" spans="1:10" ht="25.5" x14ac:dyDescent="0.25">
      <c r="A318" s="382" t="str">
        <f>Лист1!B91</f>
        <v>Сальник хвостовика 42х68х 10/14,5 усиленный "NAK"3741-00-1701210-03 (3741-00-1701210-03)</v>
      </c>
      <c r="B318" s="254" t="s">
        <v>91</v>
      </c>
      <c r="C318" s="386"/>
      <c r="D318" s="386">
        <f>Лист1!G91*$A$205</f>
        <v>2.68</v>
      </c>
      <c r="E318" s="473">
        <f>Лист1!H91</f>
        <v>175</v>
      </c>
      <c r="F318" s="253">
        <f t="shared" si="13"/>
        <v>469</v>
      </c>
      <c r="H318" s="376"/>
      <c r="I318" s="123"/>
      <c r="J318" s="124"/>
    </row>
    <row r="319" spans="1:10" x14ac:dyDescent="0.25">
      <c r="A319" s="382" t="str">
        <f>Лист1!B92</f>
        <v>Сальник шруса (в мет. обойме)(32х50х10)(19000078)3741-2304071 (3741-2304071)</v>
      </c>
      <c r="B319" s="254" t="s">
        <v>91</v>
      </c>
      <c r="C319" s="386"/>
      <c r="D319" s="386">
        <f>Лист1!G92*$A$205</f>
        <v>1.34</v>
      </c>
      <c r="E319" s="473">
        <f>Лист1!H92</f>
        <v>59</v>
      </c>
      <c r="F319" s="253">
        <f t="shared" si="13"/>
        <v>79.06</v>
      </c>
      <c r="H319" s="376"/>
      <c r="I319" s="123"/>
      <c r="J319" s="124"/>
    </row>
    <row r="320" spans="1:10" x14ac:dyDescent="0.25">
      <c r="A320" s="382" t="str">
        <f>Лист1!B93</f>
        <v>Свеча зажигания DENSO  Q16ТТ#4  4607#4 (1 шт.)</v>
      </c>
      <c r="B320" s="254" t="s">
        <v>91</v>
      </c>
      <c r="C320" s="386"/>
      <c r="D320" s="386">
        <f>Лист1!G93*$A$205</f>
        <v>2.68</v>
      </c>
      <c r="E320" s="473">
        <f>Лист1!H93</f>
        <v>185</v>
      </c>
      <c r="F320" s="253">
        <f t="shared" si="13"/>
        <v>495.8</v>
      </c>
      <c r="H320" s="376"/>
      <c r="I320" s="123"/>
      <c r="J320" s="124"/>
    </row>
    <row r="321" spans="1:10" x14ac:dyDescent="0.25">
      <c r="A321" s="382" t="str">
        <f>Лист1!B94</f>
        <v>Скоба омегообр. с резьбой г/п 2,0т тип G 209 ХЛ</v>
      </c>
      <c r="B321" s="254" t="s">
        <v>91</v>
      </c>
      <c r="C321" s="386"/>
      <c r="D321" s="386">
        <f>Лист1!G94*$A$205</f>
        <v>0.33500000000000002</v>
      </c>
      <c r="E321" s="473">
        <f>Лист1!H94</f>
        <v>175</v>
      </c>
      <c r="F321" s="253">
        <f t="shared" si="13"/>
        <v>58.625</v>
      </c>
      <c r="H321" s="376"/>
      <c r="I321" s="123"/>
      <c r="J321" s="124"/>
    </row>
    <row r="322" spans="1:10" x14ac:dyDescent="0.25">
      <c r="A322" s="382" t="str">
        <f>Лист1!B95</f>
        <v>Строп динамический (рывковый) 6т,  9 м, серия "Стандарт" TPlus</v>
      </c>
      <c r="B322" s="254" t="s">
        <v>91</v>
      </c>
      <c r="C322" s="386"/>
      <c r="D322" s="386">
        <f>Лист1!G95*$A$205</f>
        <v>0.33500000000000002</v>
      </c>
      <c r="E322" s="473">
        <f>Лист1!H95</f>
        <v>1750</v>
      </c>
      <c r="F322" s="253">
        <f t="shared" si="13"/>
        <v>586.25</v>
      </c>
      <c r="H322" s="376"/>
      <c r="I322" s="123"/>
      <c r="J322" s="124"/>
    </row>
    <row r="323" spans="1:10" ht="25.5" x14ac:dyDescent="0.25">
      <c r="A323" s="382" t="str">
        <f>Лист1!B96</f>
        <v>Ступица заднего колеса УАЗ-3163(с имп.диском в сборе АБС)3163-3104006 (3163-3104006)</v>
      </c>
      <c r="B323" s="254" t="s">
        <v>91</v>
      </c>
      <c r="C323" s="386"/>
      <c r="D323" s="386">
        <f>Лист1!G96*$A$205</f>
        <v>0.33500000000000002</v>
      </c>
      <c r="E323" s="473">
        <f>Лист1!H96</f>
        <v>4460</v>
      </c>
      <c r="F323" s="253">
        <f t="shared" si="13"/>
        <v>1494.1000000000001</v>
      </c>
      <c r="H323" s="376"/>
      <c r="I323" s="123"/>
      <c r="J323" s="124"/>
    </row>
    <row r="324" spans="1:10" ht="25.5" x14ac:dyDescent="0.25">
      <c r="A324" s="382" t="str">
        <f>Лист1!B97</f>
        <v>Сцепление к-т ЗМЗ-409"LUK"(с выжимным подшипником АДС)3163 06 1601006 (3163 06 1601006)</v>
      </c>
      <c r="B324" s="254" t="s">
        <v>91</v>
      </c>
      <c r="C324" s="386"/>
      <c r="D324" s="386">
        <f>Лист1!G97*$A$205</f>
        <v>0.33500000000000002</v>
      </c>
      <c r="E324" s="473">
        <f>Лист1!H97</f>
        <v>8725</v>
      </c>
      <c r="F324" s="253">
        <f t="shared" si="13"/>
        <v>2922.875</v>
      </c>
      <c r="H324" s="376"/>
      <c r="I324" s="123"/>
      <c r="J324" s="124"/>
    </row>
    <row r="325" spans="1:10" x14ac:dyDescent="0.25">
      <c r="A325" s="382" t="str">
        <f>Лист1!B98</f>
        <v>Термостат Т-118 t-87 (УМЗ4216) Электон  Т118-1306100-04</v>
      </c>
      <c r="B325" s="254" t="s">
        <v>91</v>
      </c>
      <c r="C325" s="386"/>
      <c r="D325" s="386">
        <f>Лист1!G98*$A$205</f>
        <v>0.67</v>
      </c>
      <c r="E325" s="473">
        <f>Лист1!H98</f>
        <v>315</v>
      </c>
      <c r="F325" s="253">
        <f t="shared" si="13"/>
        <v>211.05</v>
      </c>
      <c r="H325" s="376"/>
      <c r="I325" s="123"/>
      <c r="J325" s="124"/>
    </row>
    <row r="326" spans="1:10" x14ac:dyDescent="0.25">
      <c r="A326" s="382" t="str">
        <f>Лист1!B99</f>
        <v>Тормозная жидкость G-Energy EXPERT DOT4 (0.910кг)</v>
      </c>
      <c r="B326" s="254" t="s">
        <v>91</v>
      </c>
      <c r="C326" s="386"/>
      <c r="D326" s="386">
        <f>Лист1!G99*$A$205</f>
        <v>0.67</v>
      </c>
      <c r="E326" s="473">
        <f>Лист1!H99</f>
        <v>234</v>
      </c>
      <c r="F326" s="253">
        <f t="shared" si="13"/>
        <v>156.78</v>
      </c>
      <c r="H326" s="376"/>
      <c r="I326" s="123"/>
      <c r="J326" s="124"/>
    </row>
    <row r="327" spans="1:10" ht="25.5" x14ac:dyDescent="0.25">
      <c r="A327" s="382" t="str">
        <f>Лист1!B100</f>
        <v>Уплотнитель свечного колодца 406 дв.(ЕВРО-2)(Силикон синий) 406.1007248-10 (406.1007248-10)</v>
      </c>
      <c r="B327" s="254" t="s">
        <v>91</v>
      </c>
      <c r="C327" s="386"/>
      <c r="D327" s="386">
        <f>Лист1!G100*$A$205</f>
        <v>0.33500000000000002</v>
      </c>
      <c r="E327" s="473">
        <f>Лист1!H100</f>
        <v>96</v>
      </c>
      <c r="F327" s="253">
        <f t="shared" si="13"/>
        <v>32.160000000000004</v>
      </c>
      <c r="H327" s="376"/>
      <c r="I327" s="123"/>
      <c r="J327" s="124"/>
    </row>
    <row r="328" spans="1:10" x14ac:dyDescent="0.25">
      <c r="A328" s="382" t="str">
        <f>Лист1!B101</f>
        <v>Утеплитель лобовой наружный с дверями УАЗ-452(ватин/венил/кожа)</v>
      </c>
      <c r="B328" s="254" t="s">
        <v>91</v>
      </c>
      <c r="C328" s="386"/>
      <c r="D328" s="386">
        <f>Лист1!G101*$A$205</f>
        <v>0.33500000000000002</v>
      </c>
      <c r="E328" s="473">
        <f>Лист1!H101</f>
        <v>1220</v>
      </c>
      <c r="F328" s="253">
        <f t="shared" si="13"/>
        <v>408.70000000000005</v>
      </c>
      <c r="H328" s="376"/>
      <c r="I328" s="123"/>
      <c r="J328" s="124"/>
    </row>
    <row r="329" spans="1:10" x14ac:dyDescent="0.25">
      <c r="A329" s="382" t="str">
        <f>Лист1!B102</f>
        <v>Фильтр масляный MANN-FILTER W 914/2(W 812)(W 813)(W 914/2 n)(W 914/5)"10"</v>
      </c>
      <c r="B329" s="254" t="s">
        <v>91</v>
      </c>
      <c r="C329" s="386"/>
      <c r="D329" s="386">
        <f>Лист1!G102*$A$205</f>
        <v>1.34</v>
      </c>
      <c r="E329" s="473">
        <f>Лист1!H102</f>
        <v>330</v>
      </c>
      <c r="F329" s="253">
        <f t="shared" si="13"/>
        <v>442.20000000000005</v>
      </c>
      <c r="H329" s="376"/>
      <c r="I329" s="123"/>
      <c r="J329" s="124"/>
    </row>
    <row r="330" spans="1:10" ht="25.5" x14ac:dyDescent="0.25">
      <c r="A330" s="382" t="str">
        <f>Лист1!B103</f>
        <v>Фильтр топливный УАЗ ( инжектор штуцера с резьбой)УАЗ Оригиннал 3151-96-1117010 (3151-96-1117010)</v>
      </c>
      <c r="B330" s="254" t="s">
        <v>91</v>
      </c>
      <c r="C330" s="386"/>
      <c r="D330" s="386">
        <f>Лист1!G103*$A$205</f>
        <v>1.34</v>
      </c>
      <c r="E330" s="473">
        <f>Лист1!H103</f>
        <v>350</v>
      </c>
      <c r="F330" s="253">
        <f t="shared" si="13"/>
        <v>469</v>
      </c>
      <c r="H330" s="376"/>
      <c r="I330" s="123"/>
      <c r="J330" s="124"/>
    </row>
    <row r="331" spans="1:10" ht="25.5" x14ac:dyDescent="0.25">
      <c r="A331" s="382" t="str">
        <f>Лист1!B104</f>
        <v>Цилиндр тормозной задний УАЗ 3160,3162 Патриот(d=28мм)KNU 3160 3502040 (3160 3502040)</v>
      </c>
      <c r="B331" s="254" t="s">
        <v>91</v>
      </c>
      <c r="C331" s="386"/>
      <c r="D331" s="386">
        <f>Лист1!G104*$A$205</f>
        <v>1.34</v>
      </c>
      <c r="E331" s="473">
        <f>Лист1!H104</f>
        <v>545</v>
      </c>
      <c r="F331" s="253">
        <f t="shared" si="13"/>
        <v>730.30000000000007</v>
      </c>
      <c r="H331" s="376"/>
      <c r="I331" s="123"/>
      <c r="J331" s="124"/>
    </row>
    <row r="332" spans="1:10" x14ac:dyDescent="0.25">
      <c r="A332" s="382" t="str">
        <f>Лист1!B105</f>
        <v>Шакл (скоба омегообр. с резьбой г/п 3,25т)тип G209 ХЛ</v>
      </c>
      <c r="B332" s="254" t="s">
        <v>91</v>
      </c>
      <c r="C332" s="386"/>
      <c r="D332" s="386">
        <f>Лист1!G105*$A$205</f>
        <v>0.33500000000000002</v>
      </c>
      <c r="E332" s="473">
        <f>Лист1!H105</f>
        <v>285</v>
      </c>
      <c r="F332" s="253">
        <f t="shared" si="13"/>
        <v>95.475000000000009</v>
      </c>
      <c r="H332" s="376"/>
      <c r="I332" s="123"/>
      <c r="J332" s="124"/>
    </row>
    <row r="333" spans="1:10" ht="15" customHeight="1" x14ac:dyDescent="0.25">
      <c r="A333" s="382" t="str">
        <f>Лист1!B106</f>
        <v>Шкив помпы 406 дв текстолит 406.1308025-10 ( 406.1308025-10)</v>
      </c>
      <c r="B333" s="254" t="s">
        <v>91</v>
      </c>
      <c r="C333" s="386"/>
      <c r="D333" s="386">
        <f>Лист1!G106*$A$205</f>
        <v>1.0050000000000001</v>
      </c>
      <c r="E333" s="473">
        <f>Лист1!H106</f>
        <v>106</v>
      </c>
      <c r="F333" s="253">
        <f t="shared" si="13"/>
        <v>106.53000000000002</v>
      </c>
      <c r="H333" s="376"/>
      <c r="I333" s="123"/>
      <c r="J333" s="124"/>
    </row>
    <row r="334" spans="1:10" x14ac:dyDescent="0.25">
      <c r="A334" s="382" t="str">
        <f>Лист1!B107</f>
        <v>Шланг тормозной задний УАЗ-452 инжектор.ЕВРО-4 3962-3506061 (3962-3506061)</v>
      </c>
      <c r="B334" s="254" t="s">
        <v>91</v>
      </c>
      <c r="C334" s="386"/>
      <c r="D334" s="386">
        <f>Лист1!G107*$A$205</f>
        <v>1.34</v>
      </c>
      <c r="E334" s="473">
        <f>Лист1!H107</f>
        <v>185</v>
      </c>
      <c r="F334" s="253">
        <f t="shared" si="13"/>
        <v>247.9</v>
      </c>
      <c r="H334" s="376"/>
      <c r="I334" s="123"/>
      <c r="J334" s="124"/>
    </row>
    <row r="335" spans="1:10" x14ac:dyDescent="0.25">
      <c r="A335" s="382" t="str">
        <f>Лист1!B108</f>
        <v>Шланг тормозной передний УАЗ-452 инжектор Евро-4 3962-3506060 (3962-3506060)</v>
      </c>
      <c r="B335" s="254" t="s">
        <v>91</v>
      </c>
      <c r="C335" s="386"/>
      <c r="D335" s="386">
        <f>Лист1!G108*$A$205</f>
        <v>1.34</v>
      </c>
      <c r="E335" s="473">
        <f>Лист1!H108</f>
        <v>216</v>
      </c>
      <c r="F335" s="253">
        <f t="shared" si="13"/>
        <v>289.44</v>
      </c>
      <c r="H335" s="376"/>
      <c r="I335" s="123"/>
      <c r="J335" s="124"/>
    </row>
    <row r="336" spans="1:10" x14ac:dyDescent="0.25">
      <c r="A336" s="382" t="str">
        <f>Лист1!B109</f>
        <v>Шпилька колеса М 14х1,5х45  ГАЗ 2410,УАЗ 20-3103008-Б (20-3103008-Б)</v>
      </c>
      <c r="B336" s="254" t="s">
        <v>91</v>
      </c>
      <c r="C336" s="386"/>
      <c r="D336" s="386">
        <f>Лист1!G109*$A$205</f>
        <v>6.7</v>
      </c>
      <c r="E336" s="473">
        <f>Лист1!H109</f>
        <v>21</v>
      </c>
      <c r="F336" s="253">
        <f t="shared" si="13"/>
        <v>140.70000000000002</v>
      </c>
      <c r="H336" s="376"/>
      <c r="I336" s="123"/>
      <c r="J336" s="124"/>
    </row>
    <row r="337" spans="1:10" ht="25.5" x14ac:dyDescent="0.25">
      <c r="A337" s="382" t="str">
        <f>Лист1!B110</f>
        <v>Элемент воздушного фильтра УАЗ 452 инжектор 4213,409 (низкий)Цитрон 9.1.97 1109080 (9.1.97 1109080)</v>
      </c>
      <c r="B337" s="254" t="s">
        <v>91</v>
      </c>
      <c r="C337" s="386"/>
      <c r="D337" s="386">
        <f>Лист1!G110*$A$205</f>
        <v>0.67</v>
      </c>
      <c r="E337" s="473">
        <f>Лист1!H110</f>
        <v>357</v>
      </c>
      <c r="F337" s="253">
        <f t="shared" si="13"/>
        <v>239.19000000000003</v>
      </c>
      <c r="H337" s="376"/>
      <c r="I337" s="123"/>
      <c r="J337" s="124"/>
    </row>
    <row r="338" spans="1:10" x14ac:dyDescent="0.25">
      <c r="A338" s="382" t="str">
        <f>Лист1!B111</f>
        <v>Кран шаровый</v>
      </c>
      <c r="B338" s="254" t="s">
        <v>91</v>
      </c>
      <c r="C338" s="386"/>
      <c r="D338" s="386">
        <f>Лист1!G111*$A$205</f>
        <v>0.33500000000000002</v>
      </c>
      <c r="E338" s="473">
        <f>Лист1!H111</f>
        <v>280</v>
      </c>
      <c r="F338" s="253">
        <f t="shared" si="13"/>
        <v>93.800000000000011</v>
      </c>
      <c r="H338" s="376"/>
      <c r="I338" s="123"/>
      <c r="J338" s="124"/>
    </row>
    <row r="339" spans="1:10" x14ac:dyDescent="0.25">
      <c r="A339" s="382" t="str">
        <f>Лист1!B112</f>
        <v>Вода дист</v>
      </c>
      <c r="B339" s="254" t="s">
        <v>91</v>
      </c>
      <c r="C339" s="386"/>
      <c r="D339" s="386">
        <f>Лист1!G112*$A$205</f>
        <v>0.33500000000000002</v>
      </c>
      <c r="E339" s="473">
        <f>Лист1!H112</f>
        <v>50</v>
      </c>
      <c r="F339" s="253">
        <f t="shared" si="13"/>
        <v>16.75</v>
      </c>
      <c r="H339" s="376"/>
      <c r="I339" s="123"/>
      <c r="J339" s="124"/>
    </row>
    <row r="340" spans="1:10" x14ac:dyDescent="0.25">
      <c r="A340" s="382" t="str">
        <f>Лист1!B113</f>
        <v>Кислота серная</v>
      </c>
      <c r="B340" s="254" t="s">
        <v>91</v>
      </c>
      <c r="C340" s="386"/>
      <c r="D340" s="386">
        <f>Лист1!G113*$A$205</f>
        <v>1.34</v>
      </c>
      <c r="E340" s="473">
        <f>Лист1!H113</f>
        <v>70</v>
      </c>
      <c r="F340" s="253">
        <f t="shared" si="13"/>
        <v>93.800000000000011</v>
      </c>
      <c r="H340" s="376"/>
      <c r="I340" s="123"/>
      <c r="J340" s="124"/>
    </row>
    <row r="341" spans="1:10" x14ac:dyDescent="0.25">
      <c r="A341" s="382" t="str">
        <f>Лист1!B114</f>
        <v>Пакеты майка</v>
      </c>
      <c r="B341" s="254" t="s">
        <v>91</v>
      </c>
      <c r="C341" s="386"/>
      <c r="D341" s="386">
        <f>Лист1!G114*$A$205</f>
        <v>0.33500000000000002</v>
      </c>
      <c r="E341" s="473">
        <f>Лист1!H114</f>
        <v>5</v>
      </c>
      <c r="F341" s="253">
        <f t="shared" si="13"/>
        <v>1.675</v>
      </c>
      <c r="H341" s="376"/>
      <c r="I341" s="123"/>
      <c r="J341" s="124"/>
    </row>
    <row r="342" spans="1:10" x14ac:dyDescent="0.25">
      <c r="A342" s="382" t="str">
        <f>Лист1!B115</f>
        <v>Уголок мебельный</v>
      </c>
      <c r="B342" s="254" t="s">
        <v>91</v>
      </c>
      <c r="C342" s="386"/>
      <c r="D342" s="386">
        <f>Лист1!G115*$A$205</f>
        <v>3.35</v>
      </c>
      <c r="E342" s="473">
        <f>Лист1!H115</f>
        <v>7</v>
      </c>
      <c r="F342" s="253">
        <f t="shared" si="13"/>
        <v>23.45</v>
      </c>
      <c r="H342" s="376"/>
      <c r="I342" s="123"/>
      <c r="J342" s="124"/>
    </row>
    <row r="343" spans="1:10" x14ac:dyDescent="0.25">
      <c r="A343" s="382" t="str">
        <f>Лист1!B116</f>
        <v>Саморез по гипсокартону</v>
      </c>
      <c r="B343" s="254" t="s">
        <v>91</v>
      </c>
      <c r="C343" s="386"/>
      <c r="D343" s="386">
        <f>Лист1!G116*$A$205</f>
        <v>67</v>
      </c>
      <c r="E343" s="473">
        <f>Лист1!H116</f>
        <v>0.4</v>
      </c>
      <c r="F343" s="253">
        <f t="shared" si="13"/>
        <v>26.8</v>
      </c>
      <c r="H343" s="376"/>
      <c r="I343" s="123"/>
      <c r="J343" s="124"/>
    </row>
    <row r="344" spans="1:10" x14ac:dyDescent="0.25">
      <c r="A344" s="382" t="str">
        <f>Лист1!B117</f>
        <v>Доместос</v>
      </c>
      <c r="B344" s="254" t="s">
        <v>91</v>
      </c>
      <c r="C344" s="386"/>
      <c r="D344" s="386">
        <f>Лист1!G117*$A$205</f>
        <v>1.675</v>
      </c>
      <c r="E344" s="473">
        <f>Лист1!H117</f>
        <v>175</v>
      </c>
      <c r="F344" s="253">
        <f t="shared" si="13"/>
        <v>293.125</v>
      </c>
      <c r="H344" s="376"/>
      <c r="I344" s="123"/>
      <c r="J344" s="124"/>
    </row>
    <row r="345" spans="1:10" x14ac:dyDescent="0.25">
      <c r="A345" s="382" t="str">
        <f>Лист1!B118</f>
        <v>Белизна</v>
      </c>
      <c r="B345" s="254" t="s">
        <v>91</v>
      </c>
      <c r="C345" s="386"/>
      <c r="D345" s="386">
        <f>Лист1!G118*$A$205</f>
        <v>1.675</v>
      </c>
      <c r="E345" s="473">
        <f>Лист1!H118</f>
        <v>53</v>
      </c>
      <c r="F345" s="253">
        <f t="shared" si="13"/>
        <v>88.775000000000006</v>
      </c>
      <c r="H345" s="376"/>
      <c r="I345" s="123"/>
      <c r="J345" s="124"/>
    </row>
    <row r="346" spans="1:10" x14ac:dyDescent="0.25">
      <c r="A346" s="382" t="str">
        <f>Лист1!B119</f>
        <v xml:space="preserve">Пемолюкс </v>
      </c>
      <c r="B346" s="254" t="s">
        <v>91</v>
      </c>
      <c r="C346" s="386"/>
      <c r="D346" s="386">
        <f>Лист1!G119*$A$205</f>
        <v>5.0250000000000004</v>
      </c>
      <c r="E346" s="473">
        <f>Лист1!H119</f>
        <v>60</v>
      </c>
      <c r="F346" s="253">
        <f t="shared" si="13"/>
        <v>301.5</v>
      </c>
      <c r="H346" s="376"/>
      <c r="I346" s="123"/>
      <c r="J346" s="124"/>
    </row>
    <row r="347" spans="1:10" x14ac:dyDescent="0.25">
      <c r="A347" s="382" t="str">
        <f>Лист1!B120</f>
        <v>Мыло</v>
      </c>
      <c r="B347" s="254" t="s">
        <v>91</v>
      </c>
      <c r="C347" s="386"/>
      <c r="D347" s="386">
        <f>Лист1!G120*$A$205</f>
        <v>0.33500000000000002</v>
      </c>
      <c r="E347" s="473">
        <f>Лист1!H120</f>
        <v>132</v>
      </c>
      <c r="F347" s="253">
        <f t="shared" si="13"/>
        <v>44.220000000000006</v>
      </c>
      <c r="H347" s="376"/>
      <c r="I347" s="123"/>
      <c r="J347" s="124"/>
    </row>
    <row r="348" spans="1:10" x14ac:dyDescent="0.25">
      <c r="A348" s="382" t="str">
        <f>Лист1!B121</f>
        <v>Стеклоочиститель с распылителем</v>
      </c>
      <c r="B348" s="254" t="s">
        <v>91</v>
      </c>
      <c r="C348" s="386"/>
      <c r="D348" s="386">
        <f>Лист1!G121*$A$205</f>
        <v>0.33500000000000002</v>
      </c>
      <c r="E348" s="473">
        <f>Лист1!H121</f>
        <v>255</v>
      </c>
      <c r="F348" s="253">
        <f t="shared" si="13"/>
        <v>85.425000000000011</v>
      </c>
      <c r="H348" s="376"/>
      <c r="I348" s="123"/>
      <c r="J348" s="124"/>
    </row>
    <row r="349" spans="1:10" x14ac:dyDescent="0.25">
      <c r="A349" s="382" t="str">
        <f>Лист1!B122</f>
        <v>Стеклоочиститель (сменный блок)</v>
      </c>
      <c r="B349" s="254" t="s">
        <v>91</v>
      </c>
      <c r="C349" s="386"/>
      <c r="D349" s="386">
        <f>Лист1!G122*$A$205</f>
        <v>0.33500000000000002</v>
      </c>
      <c r="E349" s="473">
        <f>Лист1!H122</f>
        <v>55</v>
      </c>
      <c r="F349" s="253">
        <f t="shared" si="13"/>
        <v>18.425000000000001</v>
      </c>
      <c r="H349" s="376"/>
      <c r="I349" s="123"/>
      <c r="J349" s="124"/>
    </row>
    <row r="350" spans="1:10" x14ac:dyDescent="0.25">
      <c r="A350" s="382" t="str">
        <f>Лист1!B123</f>
        <v>Губки</v>
      </c>
      <c r="B350" s="254" t="s">
        <v>91</v>
      </c>
      <c r="C350" s="386"/>
      <c r="D350" s="386">
        <f>Лист1!G123*$A$205</f>
        <v>0.67</v>
      </c>
      <c r="E350" s="473">
        <f>Лист1!H123</f>
        <v>220</v>
      </c>
      <c r="F350" s="253">
        <f t="shared" si="13"/>
        <v>147.4</v>
      </c>
      <c r="H350" s="376"/>
      <c r="I350" s="123"/>
      <c r="J350" s="124"/>
    </row>
    <row r="351" spans="1:10" x14ac:dyDescent="0.25">
      <c r="A351" s="382" t="str">
        <f>Лист1!B124</f>
        <v>Моющее средство МИФ</v>
      </c>
      <c r="B351" s="254" t="s">
        <v>91</v>
      </c>
      <c r="C351" s="386"/>
      <c r="D351" s="386">
        <f>Лист1!G124*$A$205</f>
        <v>1.675</v>
      </c>
      <c r="E351" s="473">
        <f>Лист1!H124</f>
        <v>115</v>
      </c>
      <c r="F351" s="253">
        <f t="shared" si="13"/>
        <v>192.625</v>
      </c>
      <c r="H351" s="376"/>
      <c r="I351" s="123"/>
      <c r="J351" s="124"/>
    </row>
    <row r="352" spans="1:10" x14ac:dyDescent="0.25">
      <c r="A352" s="382" t="str">
        <f>Лист1!B125</f>
        <v>Тряпка вискозная</v>
      </c>
      <c r="B352" s="254" t="s">
        <v>91</v>
      </c>
      <c r="C352" s="386"/>
      <c r="D352" s="386">
        <f>Лист1!G125*$A$205</f>
        <v>1.675</v>
      </c>
      <c r="E352" s="473">
        <f>Лист1!H125</f>
        <v>70</v>
      </c>
      <c r="F352" s="253">
        <f t="shared" si="13"/>
        <v>117.25</v>
      </c>
      <c r="H352" s="376"/>
      <c r="I352" s="123"/>
      <c r="J352" s="124"/>
    </row>
    <row r="353" spans="1:10" x14ac:dyDescent="0.25">
      <c r="A353" s="382" t="str">
        <f>Лист1!B126</f>
        <v>Тряпки</v>
      </c>
      <c r="B353" s="254" t="s">
        <v>91</v>
      </c>
      <c r="C353" s="386"/>
      <c r="D353" s="386">
        <f>Лист1!G126*$A$205</f>
        <v>1.675</v>
      </c>
      <c r="E353" s="473">
        <f>Лист1!H126</f>
        <v>170</v>
      </c>
      <c r="F353" s="253">
        <f t="shared" si="13"/>
        <v>284.75</v>
      </c>
      <c r="H353" s="376"/>
      <c r="I353" s="123"/>
      <c r="J353" s="124"/>
    </row>
    <row r="354" spans="1:10" x14ac:dyDescent="0.25">
      <c r="A354" s="382" t="str">
        <f>Лист1!B127</f>
        <v>Полотенца бумажные</v>
      </c>
      <c r="B354" s="254" t="s">
        <v>91</v>
      </c>
      <c r="C354" s="386"/>
      <c r="D354" s="386">
        <f>Лист1!G127*$A$205</f>
        <v>1.675</v>
      </c>
      <c r="E354" s="473">
        <f>Лист1!H127</f>
        <v>95</v>
      </c>
      <c r="F354" s="253">
        <f t="shared" si="13"/>
        <v>159.125</v>
      </c>
      <c r="H354" s="376"/>
      <c r="I354" s="123"/>
      <c r="J354" s="124"/>
    </row>
    <row r="355" spans="1:10" x14ac:dyDescent="0.25">
      <c r="A355" s="382" t="str">
        <f>Лист1!B128</f>
        <v>Железная губка</v>
      </c>
      <c r="B355" s="254" t="s">
        <v>91</v>
      </c>
      <c r="C355" s="386"/>
      <c r="D355" s="386">
        <f>Лист1!G128*$A$205</f>
        <v>0.67</v>
      </c>
      <c r="E355" s="473">
        <f>Лист1!H128</f>
        <v>30</v>
      </c>
      <c r="F355" s="253">
        <f t="shared" si="13"/>
        <v>20.100000000000001</v>
      </c>
      <c r="H355" s="376"/>
      <c r="I355" s="123"/>
      <c r="J355" s="124"/>
    </row>
    <row r="356" spans="1:10" ht="15" customHeight="1" x14ac:dyDescent="0.25">
      <c r="A356" s="382" t="str">
        <f>Лист1!B129</f>
        <v>Перчатки</v>
      </c>
      <c r="B356" s="254" t="s">
        <v>91</v>
      </c>
      <c r="C356" s="386"/>
      <c r="D356" s="386">
        <f>Лист1!G129*$A$205</f>
        <v>1.675</v>
      </c>
      <c r="E356" s="473">
        <f>Лист1!H129</f>
        <v>60</v>
      </c>
      <c r="F356" s="253">
        <f t="shared" si="13"/>
        <v>100.5</v>
      </c>
      <c r="H356" s="376"/>
      <c r="I356" s="123"/>
      <c r="J356" s="124"/>
    </row>
    <row r="357" spans="1:10" x14ac:dyDescent="0.25">
      <c r="A357" s="382" t="str">
        <f>Лист1!B130</f>
        <v>Блок гигиенический для унитаза</v>
      </c>
      <c r="B357" s="254" t="s">
        <v>91</v>
      </c>
      <c r="C357" s="386"/>
      <c r="D357" s="386">
        <f>Лист1!G130*$A$205</f>
        <v>0.67</v>
      </c>
      <c r="E357" s="473">
        <f>Лист1!H130</f>
        <v>90</v>
      </c>
      <c r="F357" s="253">
        <f t="shared" ref="F357:F420" si="14">D357*E357</f>
        <v>60.300000000000004</v>
      </c>
      <c r="H357" s="376"/>
      <c r="I357" s="123"/>
      <c r="J357" s="124"/>
    </row>
    <row r="358" spans="1:10" x14ac:dyDescent="0.25">
      <c r="A358" s="382" t="str">
        <f>Лист1!B131</f>
        <v>Мыло</v>
      </c>
      <c r="B358" s="254" t="s">
        <v>91</v>
      </c>
      <c r="C358" s="386"/>
      <c r="D358" s="386">
        <f>Лист1!G131*$A$205</f>
        <v>1.675</v>
      </c>
      <c r="E358" s="473">
        <f>Лист1!H131</f>
        <v>45</v>
      </c>
      <c r="F358" s="253">
        <f t="shared" si="14"/>
        <v>75.375</v>
      </c>
      <c r="H358" s="376"/>
      <c r="I358" s="123"/>
      <c r="J358" s="124"/>
    </row>
    <row r="359" spans="1:10" x14ac:dyDescent="0.25">
      <c r="A359" s="382" t="str">
        <f>Лист1!B132</f>
        <v>Мешки для мусора 60 л</v>
      </c>
      <c r="B359" s="254" t="s">
        <v>91</v>
      </c>
      <c r="C359" s="386"/>
      <c r="D359" s="386">
        <f>Лист1!G132*$A$205</f>
        <v>3.35</v>
      </c>
      <c r="E359" s="473">
        <f>Лист1!H132</f>
        <v>90</v>
      </c>
      <c r="F359" s="253">
        <f t="shared" si="14"/>
        <v>301.5</v>
      </c>
      <c r="H359" s="376"/>
      <c r="I359" s="123"/>
      <c r="J359" s="124"/>
    </row>
    <row r="360" spans="1:10" x14ac:dyDescent="0.25">
      <c r="A360" s="382" t="str">
        <f>Лист1!B133</f>
        <v>Мешки для мусора 120 л</v>
      </c>
      <c r="B360" s="254" t="s">
        <v>91</v>
      </c>
      <c r="C360" s="386"/>
      <c r="D360" s="386">
        <f>Лист1!G133*$A$205</f>
        <v>1.675</v>
      </c>
      <c r="E360" s="473">
        <f>Лист1!H133</f>
        <v>100</v>
      </c>
      <c r="F360" s="253">
        <f t="shared" si="14"/>
        <v>167.5</v>
      </c>
      <c r="H360" s="376"/>
      <c r="I360" s="123"/>
      <c r="J360" s="124"/>
    </row>
    <row r="361" spans="1:10" x14ac:dyDescent="0.25">
      <c r="A361" s="382" t="str">
        <f>Лист1!B134</f>
        <v>Мешки для мусора 35 л</v>
      </c>
      <c r="B361" s="254" t="s">
        <v>91</v>
      </c>
      <c r="C361" s="386"/>
      <c r="D361" s="386">
        <f>Лист1!G134*$A$205</f>
        <v>3.35</v>
      </c>
      <c r="E361" s="473">
        <f>Лист1!H134</f>
        <v>50</v>
      </c>
      <c r="F361" s="253">
        <f t="shared" si="14"/>
        <v>167.5</v>
      </c>
      <c r="H361" s="376"/>
      <c r="I361" s="123"/>
      <c r="J361" s="124"/>
    </row>
    <row r="362" spans="1:10" x14ac:dyDescent="0.25">
      <c r="A362" s="382" t="str">
        <f>Лист1!B135</f>
        <v>Туалетная бумага</v>
      </c>
      <c r="B362" s="254" t="s">
        <v>91</v>
      </c>
      <c r="C362" s="398"/>
      <c r="D362" s="386">
        <f>Лист1!G135*$A$205</f>
        <v>16.080000000000002</v>
      </c>
      <c r="E362" s="473">
        <f>Лист1!H135</f>
        <v>18</v>
      </c>
      <c r="F362" s="253">
        <f t="shared" si="14"/>
        <v>289.44000000000005</v>
      </c>
      <c r="H362" s="376"/>
      <c r="I362" s="123"/>
      <c r="J362" s="124"/>
    </row>
    <row r="363" spans="1:10" x14ac:dyDescent="0.25">
      <c r="A363" s="382" t="str">
        <f>Лист1!B136</f>
        <v>Салфетка</v>
      </c>
      <c r="B363" s="254" t="s">
        <v>91</v>
      </c>
      <c r="C363" s="398"/>
      <c r="D363" s="386">
        <f>Лист1!G136*$A$205</f>
        <v>1.675</v>
      </c>
      <c r="E363" s="473">
        <f>Лист1!H136</f>
        <v>30</v>
      </c>
      <c r="F363" s="253">
        <f t="shared" si="14"/>
        <v>50.25</v>
      </c>
      <c r="H363" s="376"/>
      <c r="I363" s="123"/>
      <c r="J363" s="124"/>
    </row>
    <row r="364" spans="1:10" x14ac:dyDescent="0.25">
      <c r="A364" s="382" t="str">
        <f>Лист1!B137</f>
        <v>Пакет</v>
      </c>
      <c r="B364" s="254" t="s">
        <v>91</v>
      </c>
      <c r="C364" s="398"/>
      <c r="D364" s="386">
        <f>Лист1!G137*$A$205</f>
        <v>1.0050000000000001</v>
      </c>
      <c r="E364" s="473">
        <f>Лист1!H137</f>
        <v>5</v>
      </c>
      <c r="F364" s="253">
        <f t="shared" si="14"/>
        <v>5.0250000000000004</v>
      </c>
      <c r="H364" s="376"/>
      <c r="I364" s="123"/>
      <c r="J364" s="124"/>
    </row>
    <row r="365" spans="1:10" x14ac:dyDescent="0.25">
      <c r="A365" s="382" t="str">
        <f>Лист1!B138</f>
        <v>Жидкое мыло</v>
      </c>
      <c r="B365" s="254" t="s">
        <v>91</v>
      </c>
      <c r="C365" s="398"/>
      <c r="D365" s="386">
        <f>Лист1!G138*$A$205</f>
        <v>1.675</v>
      </c>
      <c r="E365" s="473">
        <f>Лист1!H138</f>
        <v>260</v>
      </c>
      <c r="F365" s="253">
        <f t="shared" si="14"/>
        <v>435.5</v>
      </c>
      <c r="H365" s="376"/>
      <c r="I365" s="123"/>
      <c r="J365" s="124"/>
    </row>
    <row r="366" spans="1:10" x14ac:dyDescent="0.25">
      <c r="A366" s="382" t="str">
        <f>Лист1!B139</f>
        <v>Стеклоочиститель</v>
      </c>
      <c r="B366" s="254" t="s">
        <v>91</v>
      </c>
      <c r="C366" s="398"/>
      <c r="D366" s="386">
        <f>Лист1!G139*$A$205</f>
        <v>1.0050000000000001</v>
      </c>
      <c r="E366" s="473">
        <f>Лист1!H139</f>
        <v>55</v>
      </c>
      <c r="F366" s="253">
        <f t="shared" si="14"/>
        <v>55.275000000000006</v>
      </c>
      <c r="H366" s="376"/>
      <c r="I366" s="123"/>
      <c r="J366" s="124"/>
    </row>
    <row r="367" spans="1:10" x14ac:dyDescent="0.25">
      <c r="A367" s="382" t="str">
        <f>Лист1!B140</f>
        <v>Блок для записи маленький</v>
      </c>
      <c r="B367" s="254" t="s">
        <v>91</v>
      </c>
      <c r="C367" s="386"/>
      <c r="D367" s="386">
        <f>Лист1!G140*$A$205</f>
        <v>0.67</v>
      </c>
      <c r="E367" s="473">
        <f>Лист1!H140</f>
        <v>70</v>
      </c>
      <c r="F367" s="253">
        <f t="shared" si="14"/>
        <v>46.900000000000006</v>
      </c>
      <c r="H367" s="376"/>
      <c r="I367" s="123"/>
      <c r="J367" s="124"/>
    </row>
    <row r="368" spans="1:10" x14ac:dyDescent="0.25">
      <c r="A368" s="382" t="str">
        <f>Лист1!B141</f>
        <v>Блок для записи большой</v>
      </c>
      <c r="B368" s="254" t="s">
        <v>91</v>
      </c>
      <c r="C368" s="386"/>
      <c r="D368" s="386">
        <f>Лист1!G141*$A$205</f>
        <v>1.0050000000000001</v>
      </c>
      <c r="E368" s="473">
        <f>Лист1!H141</f>
        <v>80</v>
      </c>
      <c r="F368" s="253">
        <f t="shared" si="14"/>
        <v>80.400000000000006</v>
      </c>
      <c r="H368" s="376"/>
      <c r="I368" s="123"/>
      <c r="J368" s="124"/>
    </row>
    <row r="369" spans="1:10" x14ac:dyDescent="0.25">
      <c r="A369" s="382" t="str">
        <f>Лист1!B142</f>
        <v>Скрепки</v>
      </c>
      <c r="B369" s="254" t="s">
        <v>91</v>
      </c>
      <c r="C369" s="386"/>
      <c r="D369" s="386">
        <f>Лист1!G142*$A$205</f>
        <v>3.35</v>
      </c>
      <c r="E369" s="473">
        <f>Лист1!H142</f>
        <v>60</v>
      </c>
      <c r="F369" s="253">
        <f t="shared" si="14"/>
        <v>201</v>
      </c>
      <c r="H369" s="376"/>
      <c r="I369" s="123"/>
      <c r="J369" s="124"/>
    </row>
    <row r="370" spans="1:10" x14ac:dyDescent="0.25">
      <c r="A370" s="382" t="str">
        <f>Лист1!B143</f>
        <v>Кнопки</v>
      </c>
      <c r="B370" s="254" t="s">
        <v>91</v>
      </c>
      <c r="C370" s="386"/>
      <c r="D370" s="386">
        <f>Лист1!G143*$A$205</f>
        <v>3.35</v>
      </c>
      <c r="E370" s="473">
        <f>Лист1!H143</f>
        <v>30</v>
      </c>
      <c r="F370" s="253">
        <f t="shared" si="14"/>
        <v>100.5</v>
      </c>
      <c r="H370" s="376"/>
      <c r="I370" s="123"/>
      <c r="J370" s="124"/>
    </row>
    <row r="371" spans="1:10" x14ac:dyDescent="0.25">
      <c r="A371" s="382" t="str">
        <f>Лист1!B144</f>
        <v>Кнопки</v>
      </c>
      <c r="B371" s="254" t="s">
        <v>91</v>
      </c>
      <c r="C371" s="386"/>
      <c r="D371" s="386">
        <f>Лист1!G144*$A$205</f>
        <v>1.675</v>
      </c>
      <c r="E371" s="473">
        <f>Лист1!H144</f>
        <v>70</v>
      </c>
      <c r="F371" s="253">
        <f t="shared" si="14"/>
        <v>117.25</v>
      </c>
      <c r="H371" s="376"/>
      <c r="I371" s="123"/>
      <c r="J371" s="124"/>
    </row>
    <row r="372" spans="1:10" x14ac:dyDescent="0.25">
      <c r="A372" s="382" t="str">
        <f>Лист1!B145</f>
        <v>Степлер №10</v>
      </c>
      <c r="B372" s="254" t="s">
        <v>91</v>
      </c>
      <c r="C372" s="386"/>
      <c r="D372" s="386">
        <f>Лист1!G145*$A$205</f>
        <v>0.33500000000000002</v>
      </c>
      <c r="E372" s="473">
        <f>Лист1!H145</f>
        <v>180</v>
      </c>
      <c r="F372" s="253">
        <f t="shared" si="14"/>
        <v>60.300000000000004</v>
      </c>
      <c r="H372" s="376"/>
      <c r="I372" s="123"/>
      <c r="J372" s="124"/>
    </row>
    <row r="373" spans="1:10" x14ac:dyDescent="0.25">
      <c r="A373" s="382" t="str">
        <f>Лист1!B146</f>
        <v>Степлер №24</v>
      </c>
      <c r="B373" s="254" t="s">
        <v>91</v>
      </c>
      <c r="C373" s="386"/>
      <c r="D373" s="386">
        <f>Лист1!G146*$A$205</f>
        <v>0.33500000000000002</v>
      </c>
      <c r="E373" s="473">
        <f>Лист1!H146</f>
        <v>340</v>
      </c>
      <c r="F373" s="253">
        <f t="shared" si="14"/>
        <v>113.9</v>
      </c>
      <c r="H373" s="376"/>
      <c r="I373" s="123"/>
      <c r="J373" s="124"/>
    </row>
    <row r="374" spans="1:10" x14ac:dyDescent="0.25">
      <c r="A374" s="382" t="str">
        <f>Лист1!B147</f>
        <v>Степлер №21</v>
      </c>
      <c r="B374" s="254" t="s">
        <v>91</v>
      </c>
      <c r="C374" s="386"/>
      <c r="D374" s="386">
        <f>Лист1!G147*$A$205</f>
        <v>1.0050000000000001</v>
      </c>
      <c r="E374" s="473">
        <f>Лист1!H147</f>
        <v>210</v>
      </c>
      <c r="F374" s="253">
        <f t="shared" si="14"/>
        <v>211.05</v>
      </c>
      <c r="H374" s="376"/>
      <c r="I374" s="123"/>
      <c r="J374" s="124"/>
    </row>
    <row r="375" spans="1:10" x14ac:dyDescent="0.25">
      <c r="A375" s="382" t="str">
        <f>Лист1!B148</f>
        <v>Скобы для степлера (большие)</v>
      </c>
      <c r="B375" s="254" t="s">
        <v>91</v>
      </c>
      <c r="C375" s="386"/>
      <c r="D375" s="386">
        <f>Лист1!G148*$A$205</f>
        <v>6.7</v>
      </c>
      <c r="E375" s="473">
        <f>Лист1!H148</f>
        <v>20</v>
      </c>
      <c r="F375" s="253">
        <f t="shared" si="14"/>
        <v>134</v>
      </c>
      <c r="H375" s="376"/>
      <c r="I375" s="123"/>
      <c r="J375" s="124"/>
    </row>
    <row r="376" spans="1:10" x14ac:dyDescent="0.25">
      <c r="A376" s="382" t="str">
        <f>Лист1!B149</f>
        <v>Скобы для степлера (маленькие)</v>
      </c>
      <c r="B376" s="254" t="s">
        <v>91</v>
      </c>
      <c r="C376" s="386"/>
      <c r="D376" s="386">
        <f>Лист1!G149*$A$205</f>
        <v>3.35</v>
      </c>
      <c r="E376" s="473">
        <f>Лист1!H149</f>
        <v>50</v>
      </c>
      <c r="F376" s="253">
        <f t="shared" si="14"/>
        <v>167.5</v>
      </c>
      <c r="H376" s="376"/>
      <c r="I376" s="123"/>
      <c r="J376" s="124"/>
    </row>
    <row r="377" spans="1:10" x14ac:dyDescent="0.25">
      <c r="A377" s="382" t="str">
        <f>Лист1!B150</f>
        <v>Ножницы маленькие</v>
      </c>
      <c r="B377" s="254" t="s">
        <v>91</v>
      </c>
      <c r="C377" s="398"/>
      <c r="D377" s="386">
        <f>Лист1!G150*$A$205</f>
        <v>1.0050000000000001</v>
      </c>
      <c r="E377" s="473">
        <f>Лист1!H150</f>
        <v>110</v>
      </c>
      <c r="F377" s="253">
        <f t="shared" si="14"/>
        <v>110.55000000000001</v>
      </c>
      <c r="H377" s="376"/>
      <c r="I377" s="123"/>
      <c r="J377" s="124"/>
    </row>
    <row r="378" spans="1:10" x14ac:dyDescent="0.25">
      <c r="A378" s="382" t="str">
        <f>Лист1!B151</f>
        <v xml:space="preserve">Ножницы большие </v>
      </c>
      <c r="B378" s="254" t="s">
        <v>91</v>
      </c>
      <c r="C378" s="398"/>
      <c r="D378" s="386">
        <f>Лист1!G151*$A$205</f>
        <v>0.33500000000000002</v>
      </c>
      <c r="E378" s="473">
        <f>Лист1!H151</f>
        <v>140</v>
      </c>
      <c r="F378" s="253">
        <f t="shared" si="14"/>
        <v>46.900000000000006</v>
      </c>
      <c r="H378" s="376"/>
      <c r="I378" s="123"/>
      <c r="J378" s="124"/>
    </row>
    <row r="379" spans="1:10" x14ac:dyDescent="0.25">
      <c r="A379" s="382" t="str">
        <f>Лист1!B152</f>
        <v>Ножницы</v>
      </c>
      <c r="B379" s="254" t="s">
        <v>91</v>
      </c>
      <c r="C379" s="398"/>
      <c r="D379" s="386">
        <f>Лист1!G152*$A$205</f>
        <v>3.35</v>
      </c>
      <c r="E379" s="473">
        <f>Лист1!H152</f>
        <v>40</v>
      </c>
      <c r="F379" s="253">
        <f t="shared" si="14"/>
        <v>134</v>
      </c>
      <c r="H379" s="376"/>
      <c r="I379" s="123"/>
      <c r="J379" s="124"/>
    </row>
    <row r="380" spans="1:10" x14ac:dyDescent="0.25">
      <c r="A380" s="382" t="str">
        <f>Лист1!B153</f>
        <v>Линейка 40 см</v>
      </c>
      <c r="B380" s="254" t="s">
        <v>91</v>
      </c>
      <c r="C380" s="398"/>
      <c r="D380" s="386">
        <f>Лист1!G153*$A$205</f>
        <v>0.67</v>
      </c>
      <c r="E380" s="473">
        <f>Лист1!H153</f>
        <v>70</v>
      </c>
      <c r="F380" s="253">
        <f t="shared" si="14"/>
        <v>46.900000000000006</v>
      </c>
      <c r="H380" s="376"/>
      <c r="I380" s="123"/>
      <c r="J380" s="124"/>
    </row>
    <row r="381" spans="1:10" x14ac:dyDescent="0.25">
      <c r="A381" s="382" t="str">
        <f>Лист1!B154</f>
        <v>Линейка 30 см</v>
      </c>
      <c r="B381" s="254" t="s">
        <v>91</v>
      </c>
      <c r="C381" s="386"/>
      <c r="D381" s="386">
        <f>Лист1!G154*$A$205</f>
        <v>1.675</v>
      </c>
      <c r="E381" s="473">
        <f>Лист1!H154</f>
        <v>30</v>
      </c>
      <c r="F381" s="253">
        <f t="shared" si="14"/>
        <v>50.25</v>
      </c>
      <c r="H381" s="376"/>
      <c r="I381" s="123"/>
      <c r="J381" s="124"/>
    </row>
    <row r="382" spans="1:10" x14ac:dyDescent="0.25">
      <c r="A382" s="382" t="str">
        <f>Лист1!B155</f>
        <v>Линейка 20 см</v>
      </c>
      <c r="B382" s="254" t="s">
        <v>91</v>
      </c>
      <c r="C382" s="386"/>
      <c r="D382" s="386">
        <f>Лист1!G155*$A$205</f>
        <v>1.34</v>
      </c>
      <c r="E382" s="473">
        <f>Лист1!H155</f>
        <v>20</v>
      </c>
      <c r="F382" s="253">
        <f t="shared" si="14"/>
        <v>26.8</v>
      </c>
      <c r="H382" s="376"/>
      <c r="I382" s="123"/>
      <c r="J382" s="124"/>
    </row>
    <row r="383" spans="1:10" x14ac:dyDescent="0.25">
      <c r="A383" s="382" t="str">
        <f>Лист1!B156</f>
        <v>Маркер черный толстый</v>
      </c>
      <c r="B383" s="254" t="s">
        <v>91</v>
      </c>
      <c r="C383" s="386"/>
      <c r="D383" s="386">
        <f>Лист1!G156*$A$205</f>
        <v>0.33500000000000002</v>
      </c>
      <c r="E383" s="473">
        <f>Лист1!H156</f>
        <v>80</v>
      </c>
      <c r="F383" s="253">
        <f t="shared" si="14"/>
        <v>26.8</v>
      </c>
      <c r="H383" s="376"/>
      <c r="I383" s="123"/>
      <c r="J383" s="124"/>
    </row>
    <row r="384" spans="1:10" x14ac:dyDescent="0.25">
      <c r="A384" s="382" t="str">
        <f>Лист1!B157</f>
        <v>Маркер черный тонкий</v>
      </c>
      <c r="B384" s="254" t="s">
        <v>91</v>
      </c>
      <c r="C384" s="386"/>
      <c r="D384" s="386">
        <f>Лист1!G157*$A$205</f>
        <v>2.68</v>
      </c>
      <c r="E384" s="473">
        <f>Лист1!H157</f>
        <v>35</v>
      </c>
      <c r="F384" s="253">
        <f t="shared" si="14"/>
        <v>93.800000000000011</v>
      </c>
      <c r="H384" s="376"/>
      <c r="I384" s="123"/>
      <c r="J384" s="124"/>
    </row>
    <row r="385" spans="1:10" x14ac:dyDescent="0.25">
      <c r="A385" s="382" t="str">
        <f>Лист1!B158</f>
        <v>Маркер (набор)</v>
      </c>
      <c r="B385" s="254" t="s">
        <v>91</v>
      </c>
      <c r="C385" s="386"/>
      <c r="D385" s="386">
        <f>Лист1!G158*$A$205</f>
        <v>0.33500000000000002</v>
      </c>
      <c r="E385" s="473">
        <f>Лист1!H158</f>
        <v>290</v>
      </c>
      <c r="F385" s="253">
        <f t="shared" si="14"/>
        <v>97.15</v>
      </c>
      <c r="H385" s="376"/>
      <c r="I385" s="123"/>
      <c r="J385" s="124"/>
    </row>
    <row r="386" spans="1:10" x14ac:dyDescent="0.25">
      <c r="A386" s="382" t="str">
        <f>Лист1!B159</f>
        <v>Маркер красный</v>
      </c>
      <c r="B386" s="254" t="s">
        <v>91</v>
      </c>
      <c r="C386" s="386"/>
      <c r="D386" s="386">
        <f>Лист1!G159*$A$205</f>
        <v>1.34</v>
      </c>
      <c r="E386" s="473">
        <f>Лист1!H159</f>
        <v>50</v>
      </c>
      <c r="F386" s="253">
        <f t="shared" si="14"/>
        <v>67</v>
      </c>
      <c r="H386" s="376"/>
      <c r="I386" s="123"/>
      <c r="J386" s="124"/>
    </row>
    <row r="387" spans="1:10" x14ac:dyDescent="0.25">
      <c r="A387" s="382" t="str">
        <f>Лист1!B160</f>
        <v>Маркер (синий)</v>
      </c>
      <c r="B387" s="254" t="s">
        <v>91</v>
      </c>
      <c r="C387" s="386"/>
      <c r="D387" s="386">
        <f>Лист1!G160*$A$205</f>
        <v>0.67</v>
      </c>
      <c r="E387" s="473">
        <f>Лист1!H160</f>
        <v>120</v>
      </c>
      <c r="F387" s="253">
        <f t="shared" si="14"/>
        <v>80.400000000000006</v>
      </c>
      <c r="H387" s="376"/>
      <c r="I387" s="123"/>
      <c r="J387" s="124"/>
    </row>
    <row r="388" spans="1:10" x14ac:dyDescent="0.25">
      <c r="A388" s="382" t="str">
        <f>Лист1!B161</f>
        <v>Клей маленький</v>
      </c>
      <c r="B388" s="254" t="s">
        <v>91</v>
      </c>
      <c r="C388" s="386"/>
      <c r="D388" s="386">
        <f>Лист1!G161*$A$205</f>
        <v>3.0150000000000001</v>
      </c>
      <c r="E388" s="473">
        <f>Лист1!H161</f>
        <v>40</v>
      </c>
      <c r="F388" s="253">
        <f t="shared" si="14"/>
        <v>120.60000000000001</v>
      </c>
      <c r="H388" s="376"/>
      <c r="I388" s="123"/>
      <c r="J388" s="124"/>
    </row>
    <row r="389" spans="1:10" x14ac:dyDescent="0.25">
      <c r="A389" s="382" t="str">
        <f>Лист1!B162</f>
        <v>Клей большой</v>
      </c>
      <c r="B389" s="254" t="s">
        <v>91</v>
      </c>
      <c r="C389" s="386"/>
      <c r="D389" s="386">
        <f>Лист1!G162*$A$205</f>
        <v>1.675</v>
      </c>
      <c r="E389" s="473">
        <f>Лист1!H162</f>
        <v>60</v>
      </c>
      <c r="F389" s="253">
        <f t="shared" si="14"/>
        <v>100.5</v>
      </c>
      <c r="H389" s="376"/>
      <c r="I389" s="123"/>
      <c r="J389" s="124"/>
    </row>
    <row r="390" spans="1:10" x14ac:dyDescent="0.25">
      <c r="A390" s="382" t="str">
        <f>Лист1!B163</f>
        <v>Резак для резки бумаги</v>
      </c>
      <c r="B390" s="254" t="s">
        <v>91</v>
      </c>
      <c r="C390" s="386"/>
      <c r="D390" s="386">
        <f>Лист1!G163*$A$205</f>
        <v>0.33500000000000002</v>
      </c>
      <c r="E390" s="473">
        <f>Лист1!H163</f>
        <v>100</v>
      </c>
      <c r="F390" s="253">
        <f t="shared" si="14"/>
        <v>33.5</v>
      </c>
      <c r="H390" s="376"/>
      <c r="I390" s="123"/>
      <c r="J390" s="124"/>
    </row>
    <row r="391" spans="1:10" x14ac:dyDescent="0.25">
      <c r="A391" s="382" t="str">
        <f>Лист1!B164</f>
        <v>Краска</v>
      </c>
      <c r="B391" s="254" t="s">
        <v>91</v>
      </c>
      <c r="C391" s="398"/>
      <c r="D391" s="386">
        <f>Лист1!G164*$A$205</f>
        <v>0.33500000000000002</v>
      </c>
      <c r="E391" s="473">
        <f>Лист1!H164</f>
        <v>140</v>
      </c>
      <c r="F391" s="253">
        <f t="shared" si="14"/>
        <v>46.900000000000006</v>
      </c>
      <c r="H391" s="376"/>
      <c r="I391" s="123"/>
      <c r="J391" s="124"/>
    </row>
    <row r="392" spans="1:10" x14ac:dyDescent="0.25">
      <c r="A392" s="382" t="str">
        <f>Лист1!B165</f>
        <v>Зажим маленький</v>
      </c>
      <c r="B392" s="254" t="s">
        <v>91</v>
      </c>
      <c r="C392" s="386"/>
      <c r="D392" s="386">
        <f>Лист1!G165*$A$205</f>
        <v>3.35</v>
      </c>
      <c r="E392" s="473">
        <f>Лист1!H165</f>
        <v>15</v>
      </c>
      <c r="F392" s="253">
        <f t="shared" si="14"/>
        <v>50.25</v>
      </c>
      <c r="H392" s="376"/>
      <c r="I392" s="123"/>
      <c r="J392" s="124"/>
    </row>
    <row r="393" spans="1:10" x14ac:dyDescent="0.25">
      <c r="A393" s="382" t="str">
        <f>Лист1!B166</f>
        <v>Зажим большой</v>
      </c>
      <c r="B393" s="254" t="s">
        <v>91</v>
      </c>
      <c r="C393" s="228"/>
      <c r="D393" s="386">
        <f>Лист1!G166*$A$205</f>
        <v>3.35</v>
      </c>
      <c r="E393" s="473">
        <f>Лист1!H166</f>
        <v>20</v>
      </c>
      <c r="F393" s="253">
        <f t="shared" si="14"/>
        <v>67</v>
      </c>
      <c r="H393" s="376"/>
      <c r="I393" s="123"/>
      <c r="J393" s="124"/>
    </row>
    <row r="394" spans="1:10" x14ac:dyDescent="0.25">
      <c r="A394" s="382" t="str">
        <f>Лист1!B167</f>
        <v>Корректор ручка</v>
      </c>
      <c r="B394" s="254" t="s">
        <v>91</v>
      </c>
      <c r="C394" s="228"/>
      <c r="D394" s="386">
        <f>Лист1!G167*$A$205</f>
        <v>0.67</v>
      </c>
      <c r="E394" s="473">
        <f>Лист1!H167</f>
        <v>80</v>
      </c>
      <c r="F394" s="253">
        <f t="shared" si="14"/>
        <v>53.6</v>
      </c>
      <c r="H394" s="376"/>
      <c r="I394" s="123"/>
      <c r="J394" s="124"/>
    </row>
    <row r="395" spans="1:10" x14ac:dyDescent="0.25">
      <c r="A395" s="382" t="str">
        <f>Лист1!B168</f>
        <v>Корректор с кистью</v>
      </c>
      <c r="B395" s="254" t="s">
        <v>91</v>
      </c>
      <c r="C395" s="228"/>
      <c r="D395" s="386">
        <f>Лист1!G168*$A$205</f>
        <v>0.67</v>
      </c>
      <c r="E395" s="473">
        <f>Лист1!H168</f>
        <v>50</v>
      </c>
      <c r="F395" s="253">
        <f t="shared" si="14"/>
        <v>33.5</v>
      </c>
      <c r="H395" s="376"/>
      <c r="I395" s="123"/>
      <c r="J395" s="124"/>
    </row>
    <row r="396" spans="1:10" x14ac:dyDescent="0.25">
      <c r="A396" s="382" t="str">
        <f>Лист1!B169</f>
        <v>Скотч</v>
      </c>
      <c r="B396" s="254" t="s">
        <v>91</v>
      </c>
      <c r="C396" s="228"/>
      <c r="D396" s="386">
        <f>Лист1!G169*$A$205</f>
        <v>1.675</v>
      </c>
      <c r="E396" s="473">
        <f>Лист1!H169</f>
        <v>15</v>
      </c>
      <c r="F396" s="253">
        <f t="shared" si="14"/>
        <v>25.125</v>
      </c>
      <c r="H396" s="376"/>
      <c r="I396" s="123"/>
      <c r="J396" s="124"/>
    </row>
    <row r="397" spans="1:10" x14ac:dyDescent="0.25">
      <c r="A397" s="382" t="str">
        <f>Лист1!B170</f>
        <v>Нож канцелярский</v>
      </c>
      <c r="B397" s="254" t="s">
        <v>91</v>
      </c>
      <c r="C397" s="228"/>
      <c r="D397" s="386">
        <f>Лист1!G170*$A$205</f>
        <v>4.0200000000000005</v>
      </c>
      <c r="E397" s="473">
        <f>Лист1!H170</f>
        <v>50</v>
      </c>
      <c r="F397" s="253">
        <f t="shared" si="14"/>
        <v>201.00000000000003</v>
      </c>
      <c r="H397" s="376"/>
      <c r="I397" s="123"/>
      <c r="J397" s="124"/>
    </row>
    <row r="398" spans="1:10" x14ac:dyDescent="0.25">
      <c r="A398" s="382" t="str">
        <f>Лист1!B171</f>
        <v>Нитки для сшивания (толстые)</v>
      </c>
      <c r="B398" s="254" t="s">
        <v>91</v>
      </c>
      <c r="C398" s="228"/>
      <c r="D398" s="386">
        <f>Лист1!G171*$A$205</f>
        <v>0.33500000000000002</v>
      </c>
      <c r="E398" s="473">
        <f>Лист1!H171</f>
        <v>210</v>
      </c>
      <c r="F398" s="253">
        <f t="shared" si="14"/>
        <v>70.350000000000009</v>
      </c>
      <c r="H398" s="376"/>
      <c r="I398" s="123"/>
      <c r="J398" s="124"/>
    </row>
    <row r="399" spans="1:10" x14ac:dyDescent="0.25">
      <c r="A399" s="382" t="str">
        <f>Лист1!B172</f>
        <v>Шило</v>
      </c>
      <c r="B399" s="254" t="s">
        <v>91</v>
      </c>
      <c r="C399" s="228"/>
      <c r="D399" s="386">
        <f>Лист1!G172*$A$205</f>
        <v>0.33500000000000002</v>
      </c>
      <c r="E399" s="473">
        <f>Лист1!H172</f>
        <v>60</v>
      </c>
      <c r="F399" s="253">
        <f t="shared" si="14"/>
        <v>20.100000000000001</v>
      </c>
      <c r="H399" s="376"/>
      <c r="I399" s="123"/>
      <c r="J399" s="124"/>
    </row>
    <row r="400" spans="1:10" x14ac:dyDescent="0.25">
      <c r="A400" s="382" t="str">
        <f>Лист1!B173</f>
        <v>Дырокол на 10 листов металл.</v>
      </c>
      <c r="B400" s="254" t="s">
        <v>91</v>
      </c>
      <c r="C400" s="228"/>
      <c r="D400" s="386">
        <f>Лист1!G173*$A$205</f>
        <v>1.34</v>
      </c>
      <c r="E400" s="473">
        <f>Лист1!H173</f>
        <v>190</v>
      </c>
      <c r="F400" s="253">
        <f t="shared" si="14"/>
        <v>254.60000000000002</v>
      </c>
      <c r="H400" s="376"/>
      <c r="I400" s="123"/>
      <c r="J400" s="124"/>
    </row>
    <row r="401" spans="1:10" x14ac:dyDescent="0.25">
      <c r="A401" s="382" t="str">
        <f>Лист1!B174</f>
        <v>Дырокол на 70 листов черный</v>
      </c>
      <c r="B401" s="254" t="s">
        <v>91</v>
      </c>
      <c r="C401" s="228"/>
      <c r="D401" s="386">
        <f>Лист1!G174*$A$205</f>
        <v>0.33500000000000002</v>
      </c>
      <c r="E401" s="473">
        <f>Лист1!H174</f>
        <v>320</v>
      </c>
      <c r="F401" s="253">
        <f t="shared" si="14"/>
        <v>107.2</v>
      </c>
      <c r="H401" s="376"/>
      <c r="I401" s="123"/>
      <c r="J401" s="124"/>
    </row>
    <row r="402" spans="1:10" x14ac:dyDescent="0.25">
      <c r="A402" s="382" t="str">
        <f>Лист1!B175</f>
        <v>Карандаш простой</v>
      </c>
      <c r="B402" s="254" t="s">
        <v>91</v>
      </c>
      <c r="C402" s="228"/>
      <c r="D402" s="386">
        <f>Лист1!G175*$A$205</f>
        <v>3.35</v>
      </c>
      <c r="E402" s="473">
        <f>Лист1!H175</f>
        <v>20</v>
      </c>
      <c r="F402" s="253">
        <f t="shared" si="14"/>
        <v>67</v>
      </c>
      <c r="H402" s="376"/>
      <c r="I402" s="123"/>
      <c r="J402" s="124"/>
    </row>
    <row r="403" spans="1:10" x14ac:dyDescent="0.25">
      <c r="A403" s="382" t="str">
        <f>Лист1!B176</f>
        <v>Ручка</v>
      </c>
      <c r="B403" s="254" t="s">
        <v>91</v>
      </c>
      <c r="C403" s="228"/>
      <c r="D403" s="386">
        <f>Лист1!G176*$A$205</f>
        <v>0.33500000000000002</v>
      </c>
      <c r="E403" s="473">
        <f>Лист1!H176</f>
        <v>20</v>
      </c>
      <c r="F403" s="253">
        <f t="shared" si="14"/>
        <v>6.7</v>
      </c>
      <c r="H403" s="376"/>
      <c r="I403" s="123"/>
      <c r="J403" s="124"/>
    </row>
    <row r="404" spans="1:10" x14ac:dyDescent="0.25">
      <c r="A404" s="382" t="str">
        <f>Лист1!B177</f>
        <v>Полотенце</v>
      </c>
      <c r="B404" s="254" t="s">
        <v>91</v>
      </c>
      <c r="C404" s="228"/>
      <c r="D404" s="386">
        <f>Лист1!G177*$A$205</f>
        <v>1.675</v>
      </c>
      <c r="E404" s="473">
        <f>Лист1!H177</f>
        <v>110</v>
      </c>
      <c r="F404" s="253">
        <f t="shared" si="14"/>
        <v>184.25</v>
      </c>
      <c r="H404" s="376"/>
      <c r="I404" s="123"/>
      <c r="J404" s="124"/>
    </row>
    <row r="405" spans="1:10" x14ac:dyDescent="0.25">
      <c r="A405" s="382" t="str">
        <f>Лист1!B178</f>
        <v>Комплект веник-совок</v>
      </c>
      <c r="B405" s="254" t="s">
        <v>91</v>
      </c>
      <c r="C405" s="228"/>
      <c r="D405" s="386">
        <f>Лист1!G178*$A$205</f>
        <v>1.0050000000000001</v>
      </c>
      <c r="E405" s="473">
        <f>Лист1!H178</f>
        <v>450</v>
      </c>
      <c r="F405" s="253">
        <f t="shared" si="14"/>
        <v>452.25000000000006</v>
      </c>
      <c r="H405" s="376"/>
      <c r="I405" s="123"/>
      <c r="J405" s="124"/>
    </row>
    <row r="406" spans="1:10" x14ac:dyDescent="0.25">
      <c r="A406" s="382" t="str">
        <f>Лист1!B179</f>
        <v>Насадки на швабру</v>
      </c>
      <c r="B406" s="254" t="s">
        <v>91</v>
      </c>
      <c r="C406" s="228"/>
      <c r="D406" s="386">
        <f>Лист1!G179*$A$205</f>
        <v>1.34</v>
      </c>
      <c r="E406" s="473">
        <f>Лист1!H179</f>
        <v>100</v>
      </c>
      <c r="F406" s="253">
        <f t="shared" si="14"/>
        <v>134</v>
      </c>
      <c r="H406" s="376"/>
      <c r="I406" s="123"/>
      <c r="J406" s="124"/>
    </row>
    <row r="407" spans="1:10" x14ac:dyDescent="0.25">
      <c r="A407" s="382" t="str">
        <f>Лист1!B180</f>
        <v>Бумага Svetocopy</v>
      </c>
      <c r="B407" s="254" t="s">
        <v>91</v>
      </c>
      <c r="C407" s="228"/>
      <c r="D407" s="386">
        <f>Лист1!G180*$A$205</f>
        <v>10.050000000000001</v>
      </c>
      <c r="E407" s="473">
        <f>Лист1!H180</f>
        <v>310</v>
      </c>
      <c r="F407" s="253">
        <f t="shared" si="14"/>
        <v>3115.5</v>
      </c>
      <c r="H407" s="376"/>
      <c r="I407" s="123"/>
      <c r="J407" s="124"/>
    </row>
    <row r="408" spans="1:10" x14ac:dyDescent="0.25">
      <c r="A408" s="382" t="str">
        <f>Лист1!B181</f>
        <v>Папка накопитель</v>
      </c>
      <c r="B408" s="254" t="s">
        <v>91</v>
      </c>
      <c r="C408" s="228"/>
      <c r="D408" s="386">
        <f>Лист1!G181*$A$205</f>
        <v>0.33500000000000002</v>
      </c>
      <c r="E408" s="473">
        <f>Лист1!H181</f>
        <v>45</v>
      </c>
      <c r="F408" s="253">
        <f t="shared" si="14"/>
        <v>15.075000000000001</v>
      </c>
      <c r="H408" s="376"/>
      <c r="I408" s="123"/>
      <c r="J408" s="124"/>
    </row>
    <row r="409" spans="1:10" x14ac:dyDescent="0.25">
      <c r="A409" s="382" t="str">
        <f>Лист1!B182</f>
        <v>Набор пил колец</v>
      </c>
      <c r="B409" s="254" t="s">
        <v>91</v>
      </c>
      <c r="C409" s="228"/>
      <c r="D409" s="386">
        <f>Лист1!G182*$A$205</f>
        <v>0.33500000000000002</v>
      </c>
      <c r="E409" s="473">
        <f>Лист1!H182</f>
        <v>595</v>
      </c>
      <c r="F409" s="253">
        <f t="shared" si="14"/>
        <v>199.32500000000002</v>
      </c>
      <c r="H409" s="376"/>
      <c r="I409" s="123"/>
      <c r="J409" s="124"/>
    </row>
    <row r="410" spans="1:10" x14ac:dyDescent="0.25">
      <c r="A410" s="382" t="str">
        <f>Лист1!B183</f>
        <v>Клей</v>
      </c>
      <c r="B410" s="254" t="s">
        <v>91</v>
      </c>
      <c r="C410" s="228"/>
      <c r="D410" s="386">
        <f>Лист1!G183*$A$205</f>
        <v>0.33500000000000002</v>
      </c>
      <c r="E410" s="473">
        <f>Лист1!H183</f>
        <v>175</v>
      </c>
      <c r="F410" s="253">
        <f t="shared" si="14"/>
        <v>58.625</v>
      </c>
      <c r="H410" s="376"/>
      <c r="I410" s="123"/>
      <c r="J410" s="124"/>
    </row>
    <row r="411" spans="1:10" x14ac:dyDescent="0.25">
      <c r="A411" s="382" t="str">
        <f>Лист1!B184</f>
        <v>Крышка горловины</v>
      </c>
      <c r="B411" s="254" t="s">
        <v>91</v>
      </c>
      <c r="C411" s="228"/>
      <c r="D411" s="386">
        <f>Лист1!G184*$A$205</f>
        <v>0.67</v>
      </c>
      <c r="E411" s="473">
        <f>Лист1!H184</f>
        <v>80</v>
      </c>
      <c r="F411" s="253">
        <f t="shared" si="14"/>
        <v>53.6</v>
      </c>
      <c r="H411" s="376"/>
      <c r="I411" s="123"/>
      <c r="J411" s="124"/>
    </row>
    <row r="412" spans="1:10" x14ac:dyDescent="0.25">
      <c r="A412" s="382" t="str">
        <f>Лист1!B185</f>
        <v>папка скоросшиватель</v>
      </c>
      <c r="B412" s="254" t="s">
        <v>91</v>
      </c>
      <c r="C412" s="228"/>
      <c r="D412" s="386">
        <f>Лист1!G185*$A$205</f>
        <v>3.35</v>
      </c>
      <c r="E412" s="473">
        <f>Лист1!H185</f>
        <v>15</v>
      </c>
      <c r="F412" s="253">
        <f t="shared" si="14"/>
        <v>50.25</v>
      </c>
      <c r="H412" s="376"/>
      <c r="I412" s="123"/>
      <c r="J412" s="124"/>
    </row>
    <row r="413" spans="1:10" x14ac:dyDescent="0.25">
      <c r="A413" s="382" t="str">
        <f>Лист1!B186</f>
        <v>Прессвол РОР-АР 3,5*2,3м</v>
      </c>
      <c r="B413" s="254" t="s">
        <v>91</v>
      </c>
      <c r="C413" s="228"/>
      <c r="D413" s="386">
        <f>Лист1!G186*$A$205</f>
        <v>0.33500000000000002</v>
      </c>
      <c r="E413" s="473">
        <f>Лист1!H186</f>
        <v>25000</v>
      </c>
      <c r="F413" s="253">
        <f t="shared" si="14"/>
        <v>8375</v>
      </c>
      <c r="H413" s="376"/>
      <c r="I413" s="123"/>
      <c r="J413" s="124"/>
    </row>
    <row r="414" spans="1:10" x14ac:dyDescent="0.25">
      <c r="A414" s="382" t="str">
        <f>Лист1!B187</f>
        <v>плинтус кабель-канал</v>
      </c>
      <c r="B414" s="254" t="s">
        <v>91</v>
      </c>
      <c r="C414" s="228"/>
      <c r="D414" s="386">
        <f>Лист1!G187*$A$205</f>
        <v>1.0050000000000001</v>
      </c>
      <c r="E414" s="473">
        <f>Лист1!H187</f>
        <v>70</v>
      </c>
      <c r="F414" s="253">
        <f t="shared" si="14"/>
        <v>70.350000000000009</v>
      </c>
      <c r="H414" s="376"/>
      <c r="I414" s="123"/>
      <c r="J414" s="124"/>
    </row>
    <row r="415" spans="1:10" x14ac:dyDescent="0.25">
      <c r="A415" s="382" t="str">
        <f>Лист1!B188</f>
        <v>валик малярный L</v>
      </c>
      <c r="B415" s="254" t="s">
        <v>91</v>
      </c>
      <c r="C415" s="228"/>
      <c r="D415" s="386">
        <f>Лист1!G188*$A$205</f>
        <v>0.67</v>
      </c>
      <c r="E415" s="473">
        <f>Лист1!H188</f>
        <v>134</v>
      </c>
      <c r="F415" s="253">
        <f t="shared" si="14"/>
        <v>89.78</v>
      </c>
      <c r="H415" s="376"/>
      <c r="I415" s="123"/>
      <c r="J415" s="124"/>
    </row>
    <row r="416" spans="1:10" x14ac:dyDescent="0.25">
      <c r="A416" s="382" t="str">
        <f>Лист1!B189</f>
        <v>валик малярный профи</v>
      </c>
      <c r="B416" s="254" t="s">
        <v>91</v>
      </c>
      <c r="C416" s="228"/>
      <c r="D416" s="386">
        <f>Лист1!G189*$A$205</f>
        <v>0.67</v>
      </c>
      <c r="E416" s="473">
        <f>Лист1!H189</f>
        <v>142</v>
      </c>
      <c r="F416" s="253">
        <f t="shared" si="14"/>
        <v>95.14</v>
      </c>
      <c r="H416" s="376"/>
      <c r="I416" s="123"/>
      <c r="J416" s="124"/>
    </row>
    <row r="417" spans="1:10" x14ac:dyDescent="0.25">
      <c r="A417" s="382" t="str">
        <f>Лист1!B190</f>
        <v>кабель-канал</v>
      </c>
      <c r="B417" s="254" t="s">
        <v>91</v>
      </c>
      <c r="C417" s="228"/>
      <c r="D417" s="386">
        <f>Лист1!G190*$A$205</f>
        <v>1.675</v>
      </c>
      <c r="E417" s="473">
        <f>Лист1!H190</f>
        <v>62</v>
      </c>
      <c r="F417" s="253">
        <f t="shared" si="14"/>
        <v>103.85000000000001</v>
      </c>
      <c r="H417" s="376"/>
      <c r="I417" s="123"/>
      <c r="J417" s="124"/>
    </row>
    <row r="418" spans="1:10" x14ac:dyDescent="0.25">
      <c r="A418" s="382" t="str">
        <f>Лист1!B191</f>
        <v>ванночка малярная</v>
      </c>
      <c r="B418" s="254" t="s">
        <v>91</v>
      </c>
      <c r="C418" s="228"/>
      <c r="D418" s="386">
        <f>Лист1!G191*$A$205</f>
        <v>0.67</v>
      </c>
      <c r="E418" s="473">
        <f>Лист1!H191</f>
        <v>50</v>
      </c>
      <c r="F418" s="253">
        <f t="shared" si="14"/>
        <v>33.5</v>
      </c>
      <c r="H418" s="376"/>
      <c r="I418" s="123"/>
      <c r="J418" s="124"/>
    </row>
    <row r="419" spans="1:10" x14ac:dyDescent="0.25">
      <c r="A419" s="382" t="str">
        <f>Лист1!B192</f>
        <v>шайба крановая</v>
      </c>
      <c r="B419" s="254" t="s">
        <v>91</v>
      </c>
      <c r="C419" s="228"/>
      <c r="D419" s="386">
        <f>Лист1!G192*$A$205</f>
        <v>6.7</v>
      </c>
      <c r="E419" s="473">
        <f>Лист1!H192</f>
        <v>0.3</v>
      </c>
      <c r="F419" s="253">
        <f t="shared" si="14"/>
        <v>2.0099999999999998</v>
      </c>
      <c r="H419" s="376"/>
      <c r="I419" s="123"/>
      <c r="J419" s="124"/>
    </row>
    <row r="420" spans="1:10" x14ac:dyDescent="0.25">
      <c r="A420" s="382" t="str">
        <f>Лист1!B193</f>
        <v>эмаль аэрозоль</v>
      </c>
      <c r="B420" s="254" t="s">
        <v>91</v>
      </c>
      <c r="C420" s="228"/>
      <c r="D420" s="386">
        <f>Лист1!G193*$A$205</f>
        <v>0.67</v>
      </c>
      <c r="E420" s="473">
        <f>Лист1!H193</f>
        <v>193</v>
      </c>
      <c r="F420" s="253">
        <f t="shared" si="14"/>
        <v>129.31</v>
      </c>
      <c r="H420" s="376"/>
      <c r="I420" s="123"/>
      <c r="J420" s="124"/>
    </row>
    <row r="421" spans="1:10" x14ac:dyDescent="0.25">
      <c r="A421" s="382" t="str">
        <f>Лист1!B194</f>
        <v>Папка-регистратор</v>
      </c>
      <c r="B421" s="254" t="s">
        <v>91</v>
      </c>
      <c r="C421" s="228"/>
      <c r="D421" s="386">
        <f>Лист1!G194*$A$205</f>
        <v>7.37</v>
      </c>
      <c r="E421" s="473">
        <f>Лист1!H194</f>
        <v>190</v>
      </c>
      <c r="F421" s="253">
        <f t="shared" ref="F421:F453" si="15">D421*E421</f>
        <v>1400.3</v>
      </c>
      <c r="H421" s="376"/>
      <c r="I421" s="123"/>
      <c r="J421" s="124"/>
    </row>
    <row r="422" spans="1:10" x14ac:dyDescent="0.25">
      <c r="A422" s="382" t="str">
        <f>Лист1!B195</f>
        <v>Блок питания</v>
      </c>
      <c r="B422" s="254" t="s">
        <v>91</v>
      </c>
      <c r="C422" s="228"/>
      <c r="D422" s="386">
        <f>Лист1!G195*$A$205</f>
        <v>0.33500000000000002</v>
      </c>
      <c r="E422" s="473">
        <f>Лист1!H195</f>
        <v>8330</v>
      </c>
      <c r="F422" s="253">
        <f t="shared" si="15"/>
        <v>2790.55</v>
      </c>
      <c r="H422" s="376"/>
      <c r="I422" s="123"/>
      <c r="J422" s="124"/>
    </row>
    <row r="423" spans="1:10" x14ac:dyDescent="0.25">
      <c r="A423" s="382" t="str">
        <f>Лист1!B196</f>
        <v>Кабель</v>
      </c>
      <c r="B423" s="254" t="s">
        <v>91</v>
      </c>
      <c r="C423" s="228"/>
      <c r="D423" s="386">
        <f>Лист1!G196*$A$205</f>
        <v>1.0050000000000001</v>
      </c>
      <c r="E423" s="473">
        <f>Лист1!H196</f>
        <v>2570</v>
      </c>
      <c r="F423" s="253">
        <f t="shared" si="15"/>
        <v>2582.8500000000004</v>
      </c>
      <c r="H423" s="376"/>
      <c r="I423" s="123"/>
      <c r="J423" s="124"/>
    </row>
    <row r="424" spans="1:10" x14ac:dyDescent="0.25">
      <c r="A424" s="382" t="str">
        <f>Лист1!B197</f>
        <v>Карта памяти</v>
      </c>
      <c r="B424" s="254" t="s">
        <v>91</v>
      </c>
      <c r="C424" s="228"/>
      <c r="D424" s="386">
        <f>Лист1!G197*$A$205</f>
        <v>0.67</v>
      </c>
      <c r="E424" s="473">
        <f>Лист1!H197</f>
        <v>3700</v>
      </c>
      <c r="F424" s="253">
        <f t="shared" si="15"/>
        <v>2479</v>
      </c>
      <c r="H424" s="376"/>
      <c r="I424" s="123"/>
      <c r="J424" s="124"/>
    </row>
    <row r="425" spans="1:10" x14ac:dyDescent="0.25">
      <c r="A425" s="382" t="str">
        <f>Лист1!B198</f>
        <v>Кабель</v>
      </c>
      <c r="B425" s="254" t="s">
        <v>91</v>
      </c>
      <c r="C425" s="228"/>
      <c r="D425" s="386">
        <f>Лист1!G198*$A$205</f>
        <v>0.33500000000000002</v>
      </c>
      <c r="E425" s="473">
        <f>Лист1!H198</f>
        <v>1990</v>
      </c>
      <c r="F425" s="253">
        <f t="shared" si="15"/>
        <v>666.65000000000009</v>
      </c>
      <c r="H425" s="376"/>
      <c r="I425" s="123"/>
      <c r="J425" s="124"/>
    </row>
    <row r="426" spans="1:10" x14ac:dyDescent="0.25">
      <c r="A426" s="382" t="str">
        <f>Лист1!B199</f>
        <v>Бумага Lomond 230</v>
      </c>
      <c r="B426" s="254" t="s">
        <v>91</v>
      </c>
      <c r="C426" s="228"/>
      <c r="D426" s="386">
        <f>Лист1!G199*$A$205</f>
        <v>0.67</v>
      </c>
      <c r="E426" s="473">
        <f>Лист1!H199</f>
        <v>430</v>
      </c>
      <c r="F426" s="253">
        <f t="shared" si="15"/>
        <v>288.10000000000002</v>
      </c>
      <c r="H426" s="376"/>
      <c r="I426" s="123"/>
      <c r="J426" s="124"/>
    </row>
    <row r="427" spans="1:10" x14ac:dyDescent="0.25">
      <c r="A427" s="382" t="str">
        <f>Лист1!B200</f>
        <v>Бумага Lomond 140</v>
      </c>
      <c r="B427" s="254" t="s">
        <v>91</v>
      </c>
      <c r="C427" s="228"/>
      <c r="D427" s="386">
        <f>Лист1!G200*$A$205</f>
        <v>0.67</v>
      </c>
      <c r="E427" s="473">
        <f>Лист1!H200</f>
        <v>870</v>
      </c>
      <c r="F427" s="253">
        <f t="shared" si="15"/>
        <v>582.90000000000009</v>
      </c>
      <c r="H427" s="376"/>
      <c r="I427" s="123"/>
      <c r="J427" s="124"/>
    </row>
    <row r="428" spans="1:10" x14ac:dyDescent="0.25">
      <c r="A428" s="382" t="str">
        <f>Лист1!B201</f>
        <v>Бумага Lomond 200</v>
      </c>
      <c r="B428" s="254" t="s">
        <v>91</v>
      </c>
      <c r="C428" s="228"/>
      <c r="D428" s="386">
        <f>Лист1!G201*$A$205</f>
        <v>0.67</v>
      </c>
      <c r="E428" s="473">
        <f>Лист1!H201</f>
        <v>580</v>
      </c>
      <c r="F428" s="253">
        <f t="shared" si="15"/>
        <v>388.6</v>
      </c>
      <c r="H428" s="376"/>
      <c r="I428" s="123"/>
      <c r="J428" s="124"/>
    </row>
    <row r="429" spans="1:10" x14ac:dyDescent="0.25">
      <c r="A429" s="382" t="str">
        <f>Лист1!B202</f>
        <v>Бумага Cactus 180</v>
      </c>
      <c r="B429" s="254" t="s">
        <v>91</v>
      </c>
      <c r="C429" s="228"/>
      <c r="D429" s="386">
        <f>Лист1!G202*$A$205</f>
        <v>0.67</v>
      </c>
      <c r="E429" s="473">
        <f>Лист1!H202</f>
        <v>760</v>
      </c>
      <c r="F429" s="253">
        <f t="shared" si="15"/>
        <v>509.20000000000005</v>
      </c>
      <c r="H429" s="376"/>
      <c r="I429" s="123"/>
      <c r="J429" s="124"/>
    </row>
    <row r="430" spans="1:10" x14ac:dyDescent="0.25">
      <c r="A430" s="382" t="str">
        <f>Лист1!B203</f>
        <v>Бумага Cactus 230</v>
      </c>
      <c r="B430" s="254" t="s">
        <v>91</v>
      </c>
      <c r="C430" s="228"/>
      <c r="D430" s="386">
        <f>Лист1!G203*$A$205</f>
        <v>0.67</v>
      </c>
      <c r="E430" s="473">
        <f>Лист1!H203</f>
        <v>810</v>
      </c>
      <c r="F430" s="253">
        <f t="shared" si="15"/>
        <v>542.70000000000005</v>
      </c>
      <c r="H430" s="376"/>
      <c r="I430" s="123"/>
      <c r="J430" s="124"/>
    </row>
    <row r="431" spans="1:10" x14ac:dyDescent="0.25">
      <c r="A431" s="382" t="str">
        <f>Лист1!B204</f>
        <v>Бумага офисная А3</v>
      </c>
      <c r="B431" s="254" t="s">
        <v>91</v>
      </c>
      <c r="C431" s="228"/>
      <c r="D431" s="386">
        <f>Лист1!G204*$A$205</f>
        <v>1.675</v>
      </c>
      <c r="E431" s="473">
        <f>Лист1!H204</f>
        <v>480</v>
      </c>
      <c r="F431" s="253">
        <f t="shared" si="15"/>
        <v>804</v>
      </c>
      <c r="H431" s="376"/>
      <c r="I431" s="123"/>
      <c r="J431" s="124"/>
    </row>
    <row r="432" spans="1:10" x14ac:dyDescent="0.25">
      <c r="A432" s="382" t="str">
        <f>Лист1!B205</f>
        <v>Бумага Lomond А3</v>
      </c>
      <c r="B432" s="254" t="s">
        <v>91</v>
      </c>
      <c r="C432" s="228"/>
      <c r="D432" s="386">
        <f>Лист1!G205*$A$205</f>
        <v>1.34</v>
      </c>
      <c r="E432" s="473">
        <f>Лист1!H205</f>
        <v>1280</v>
      </c>
      <c r="F432" s="253">
        <f t="shared" si="15"/>
        <v>1715.2</v>
      </c>
      <c r="H432" s="376"/>
      <c r="I432" s="123"/>
      <c r="J432" s="124"/>
    </row>
    <row r="433" spans="1:10" x14ac:dyDescent="0.25">
      <c r="A433" s="382" t="str">
        <f>Лист1!B206</f>
        <v>Папка-регистратор</v>
      </c>
      <c r="B433" s="254" t="s">
        <v>91</v>
      </c>
      <c r="C433" s="228"/>
      <c r="D433" s="386">
        <f>Лист1!G206*$A$205</f>
        <v>3.35</v>
      </c>
      <c r="E433" s="473">
        <f>Лист1!H206</f>
        <v>190</v>
      </c>
      <c r="F433" s="253">
        <f t="shared" si="15"/>
        <v>636.5</v>
      </c>
      <c r="H433" s="376"/>
      <c r="I433" s="123"/>
      <c r="J433" s="124"/>
    </row>
    <row r="434" spans="1:10" x14ac:dyDescent="0.25">
      <c r="A434" s="382" t="str">
        <f>Лист1!B207</f>
        <v>Блокнот для флипчарта</v>
      </c>
      <c r="B434" s="254" t="s">
        <v>91</v>
      </c>
      <c r="C434" s="228"/>
      <c r="D434" s="386">
        <f>Лист1!G207*$A$205</f>
        <v>1.675</v>
      </c>
      <c r="E434" s="473">
        <f>Лист1!H207</f>
        <v>680</v>
      </c>
      <c r="F434" s="253">
        <f t="shared" si="15"/>
        <v>1139</v>
      </c>
      <c r="H434" s="376"/>
      <c r="I434" s="123"/>
      <c r="J434" s="124"/>
    </row>
    <row r="435" spans="1:10" x14ac:dyDescent="0.25">
      <c r="A435" s="460" t="str">
        <f>Лист1!B208</f>
        <v>Чернила для заправки комплект</v>
      </c>
      <c r="B435" s="486" t="s">
        <v>91</v>
      </c>
      <c r="C435" s="228"/>
      <c r="D435" s="457">
        <f>Лист1!G208*$A$205</f>
        <v>1.34</v>
      </c>
      <c r="E435" s="473">
        <f>Лист1!H208</f>
        <v>900</v>
      </c>
      <c r="F435" s="487">
        <f t="shared" si="15"/>
        <v>1206</v>
      </c>
      <c r="H435" s="376"/>
      <c r="I435" s="123"/>
      <c r="J435" s="124"/>
    </row>
    <row r="436" spans="1:10" x14ac:dyDescent="0.25">
      <c r="A436" s="456" t="str">
        <f>Лист1!B209</f>
        <v>Картридж НР С2Р42АЕ</v>
      </c>
      <c r="B436" s="254" t="s">
        <v>91</v>
      </c>
      <c r="C436" s="456"/>
      <c r="D436" s="457">
        <f>Лист1!G209*$A$205</f>
        <v>0.67</v>
      </c>
      <c r="E436" s="473">
        <f>Лист1!H209</f>
        <v>4800</v>
      </c>
      <c r="F436" s="487">
        <f t="shared" si="15"/>
        <v>3216</v>
      </c>
      <c r="H436" s="376"/>
      <c r="I436" s="123"/>
      <c r="J436" s="124"/>
    </row>
    <row r="437" spans="1:10" x14ac:dyDescent="0.25">
      <c r="A437" s="456" t="str">
        <f>Лист1!B210</f>
        <v xml:space="preserve">Лампады </v>
      </c>
      <c r="B437" s="254" t="s">
        <v>91</v>
      </c>
      <c r="C437" s="456"/>
      <c r="D437" s="457">
        <f>Лист1!G210*$A$205</f>
        <v>10.050000000000001</v>
      </c>
      <c r="E437" s="473">
        <f>Лист1!H210</f>
        <v>60</v>
      </c>
      <c r="F437" s="487">
        <f t="shared" si="15"/>
        <v>603</v>
      </c>
      <c r="H437" s="376"/>
      <c r="I437" s="123"/>
      <c r="J437" s="124"/>
    </row>
    <row r="438" spans="1:10" x14ac:dyDescent="0.25">
      <c r="A438" s="456" t="str">
        <f>Лист1!B211</f>
        <v>Георгиевская лента 100м</v>
      </c>
      <c r="B438" s="254" t="s">
        <v>91</v>
      </c>
      <c r="C438" s="456"/>
      <c r="D438" s="457">
        <f>Лист1!G211*$A$205</f>
        <v>0.33500000000000002</v>
      </c>
      <c r="E438" s="473">
        <f>Лист1!H211</f>
        <v>1200</v>
      </c>
      <c r="F438" s="487">
        <f t="shared" si="15"/>
        <v>402</v>
      </c>
      <c r="H438" s="376"/>
      <c r="I438" s="123"/>
      <c r="J438" s="124"/>
    </row>
    <row r="439" spans="1:10" x14ac:dyDescent="0.25">
      <c r="A439" s="456" t="str">
        <f>Лист1!B212</f>
        <v>Саморез со сверлом</v>
      </c>
      <c r="B439" s="254" t="s">
        <v>91</v>
      </c>
      <c r="C439" s="456"/>
      <c r="D439" s="457">
        <f>Лист1!G212*$A$205</f>
        <v>67</v>
      </c>
      <c r="E439" s="473">
        <f>Лист1!H212</f>
        <v>3</v>
      </c>
      <c r="F439" s="487">
        <f t="shared" si="15"/>
        <v>201</v>
      </c>
      <c r="H439" s="376"/>
      <c r="I439" s="123"/>
      <c r="J439" s="124"/>
    </row>
    <row r="440" spans="1:10" x14ac:dyDescent="0.25">
      <c r="A440" s="456" t="str">
        <f>Лист1!B213</f>
        <v>Саморез со сверлом</v>
      </c>
      <c r="B440" s="254" t="s">
        <v>91</v>
      </c>
      <c r="C440" s="456"/>
      <c r="D440" s="457">
        <f>Лист1!G213*$A$205</f>
        <v>83.75</v>
      </c>
      <c r="E440" s="473">
        <f>Лист1!H213</f>
        <v>3</v>
      </c>
      <c r="F440" s="487">
        <f t="shared" si="15"/>
        <v>251.25</v>
      </c>
      <c r="H440" s="376"/>
      <c r="I440" s="123"/>
      <c r="J440" s="124"/>
    </row>
    <row r="441" spans="1:10" x14ac:dyDescent="0.25">
      <c r="A441" s="456" t="str">
        <f>Лист1!B214</f>
        <v>Гвозди 1 кг</v>
      </c>
      <c r="B441" s="254" t="s">
        <v>91</v>
      </c>
      <c r="C441" s="456"/>
      <c r="D441" s="457">
        <f>Лист1!G214*$A$205</f>
        <v>0.33500000000000002</v>
      </c>
      <c r="E441" s="473">
        <f>Лист1!H214</f>
        <v>110</v>
      </c>
      <c r="F441" s="487">
        <f t="shared" si="15"/>
        <v>36.85</v>
      </c>
      <c r="H441" s="376"/>
      <c r="I441" s="123"/>
      <c r="J441" s="124"/>
    </row>
    <row r="442" spans="1:10" x14ac:dyDescent="0.25">
      <c r="A442" s="456" t="str">
        <f>Лист1!B215</f>
        <v>гвозди строит</v>
      </c>
      <c r="B442" s="254" t="s">
        <v>91</v>
      </c>
      <c r="C442" s="456"/>
      <c r="D442" s="457">
        <f>Лист1!G215*$A$205</f>
        <v>0.67</v>
      </c>
      <c r="E442" s="473">
        <f>Лист1!H215</f>
        <v>100</v>
      </c>
      <c r="F442" s="487">
        <f t="shared" si="15"/>
        <v>67</v>
      </c>
      <c r="H442" s="376"/>
      <c r="I442" s="123"/>
      <c r="J442" s="124"/>
    </row>
    <row r="443" spans="1:10" x14ac:dyDescent="0.25">
      <c r="A443" s="456" t="str">
        <f>Лист1!B216</f>
        <v>гвозди строит</v>
      </c>
      <c r="B443" s="254" t="s">
        <v>91</v>
      </c>
      <c r="C443" s="456"/>
      <c r="D443" s="457">
        <f>Лист1!G216*$A$205</f>
        <v>0.67</v>
      </c>
      <c r="E443" s="473">
        <f>Лист1!H216</f>
        <v>114</v>
      </c>
      <c r="F443" s="487">
        <f t="shared" si="15"/>
        <v>76.38000000000001</v>
      </c>
      <c r="H443" s="376"/>
      <c r="I443" s="123"/>
      <c r="J443" s="124"/>
    </row>
    <row r="444" spans="1:10" x14ac:dyDescent="0.25">
      <c r="A444" s="456" t="str">
        <f>Лист1!B217</f>
        <v>Помпа дополнительная</v>
      </c>
      <c r="B444" s="254" t="s">
        <v>91</v>
      </c>
      <c r="C444" s="456"/>
      <c r="D444" s="457">
        <f>Лист1!G217*$A$205</f>
        <v>0.33500000000000002</v>
      </c>
      <c r="E444" s="473">
        <f>Лист1!H217</f>
        <v>1050</v>
      </c>
      <c r="F444" s="487">
        <f t="shared" si="15"/>
        <v>351.75</v>
      </c>
      <c r="H444" s="376"/>
      <c r="I444" s="123"/>
      <c r="J444" s="124"/>
    </row>
    <row r="445" spans="1:10" x14ac:dyDescent="0.25">
      <c r="A445" s="456" t="str">
        <f>Лист1!B218</f>
        <v>уголок крепежный</v>
      </c>
      <c r="B445" s="254" t="s">
        <v>91</v>
      </c>
      <c r="C445" s="456"/>
      <c r="D445" s="457">
        <f>Лист1!G218*$A$205</f>
        <v>3.35</v>
      </c>
      <c r="E445" s="473">
        <f>Лист1!H218</f>
        <v>17</v>
      </c>
      <c r="F445" s="487">
        <f t="shared" si="15"/>
        <v>56.95</v>
      </c>
      <c r="H445" s="376"/>
      <c r="I445" s="123"/>
      <c r="J445" s="124"/>
    </row>
    <row r="446" spans="1:10" x14ac:dyDescent="0.25">
      <c r="A446" s="456" t="str">
        <f>Лист1!B219</f>
        <v>саморез</v>
      </c>
      <c r="B446" s="254" t="s">
        <v>91</v>
      </c>
      <c r="C446" s="456"/>
      <c r="D446" s="457">
        <f>Лист1!G219*$A$205</f>
        <v>147.4</v>
      </c>
      <c r="E446" s="473">
        <f>Лист1!H219</f>
        <v>1</v>
      </c>
      <c r="F446" s="487">
        <f t="shared" si="15"/>
        <v>147.4</v>
      </c>
      <c r="H446" s="376"/>
      <c r="I446" s="123"/>
      <c r="J446" s="124"/>
    </row>
    <row r="447" spans="1:10" x14ac:dyDescent="0.25">
      <c r="A447" s="456" t="str">
        <f>Лист1!B220</f>
        <v>гвозди строит</v>
      </c>
      <c r="B447" s="254" t="s">
        <v>91</v>
      </c>
      <c r="C447" s="456"/>
      <c r="D447" s="457">
        <f>Лист1!G220*$A$205</f>
        <v>0.67</v>
      </c>
      <c r="E447" s="473">
        <f>Лист1!H220</f>
        <v>100</v>
      </c>
      <c r="F447" s="487">
        <f t="shared" si="15"/>
        <v>67</v>
      </c>
      <c r="H447" s="376"/>
      <c r="I447" s="123"/>
      <c r="J447" s="124"/>
    </row>
    <row r="448" spans="1:10" x14ac:dyDescent="0.25">
      <c r="A448" s="456" t="str">
        <f>Лист1!B221</f>
        <v>стяжка для проводов</v>
      </c>
      <c r="B448" s="254" t="s">
        <v>91</v>
      </c>
      <c r="C448" s="93"/>
      <c r="D448" s="457">
        <f>Лист1!G221*$A$205</f>
        <v>0.33500000000000002</v>
      </c>
      <c r="E448" s="473">
        <f>Лист1!H221</f>
        <v>194</v>
      </c>
      <c r="F448" s="487">
        <f t="shared" si="15"/>
        <v>64.990000000000009</v>
      </c>
    </row>
    <row r="449" spans="1:6" x14ac:dyDescent="0.25">
      <c r="A449" s="456" t="str">
        <f>Лист1!B222</f>
        <v>стяжка для проводов</v>
      </c>
      <c r="B449" s="254" t="s">
        <v>91</v>
      </c>
      <c r="C449" s="93"/>
      <c r="D449" s="457">
        <f>Лист1!G222*$A$205</f>
        <v>0.33500000000000002</v>
      </c>
      <c r="E449" s="473">
        <f>Лист1!H222</f>
        <v>41</v>
      </c>
      <c r="F449" s="487">
        <f t="shared" si="15"/>
        <v>13.735000000000001</v>
      </c>
    </row>
    <row r="450" spans="1:6" x14ac:dyDescent="0.25">
      <c r="A450" s="456" t="str">
        <f>Лист1!B223</f>
        <v>гвозди строит</v>
      </c>
      <c r="B450" s="254" t="s">
        <v>91</v>
      </c>
      <c r="C450" s="93"/>
      <c r="D450" s="457">
        <f>Лист1!G223*$A$205</f>
        <v>6.7</v>
      </c>
      <c r="E450" s="473">
        <f>Лист1!H223</f>
        <v>194.48</v>
      </c>
      <c r="F450" s="487">
        <f t="shared" si="15"/>
        <v>1303.0160000000001</v>
      </c>
    </row>
    <row r="451" spans="1:6" x14ac:dyDescent="0.25">
      <c r="A451" s="456" t="str">
        <f>Лист1!B224</f>
        <v>Стойки, втулки Хёндай</v>
      </c>
      <c r="B451" s="254" t="s">
        <v>91</v>
      </c>
      <c r="C451" s="93"/>
      <c r="D451" s="457">
        <f>Лист1!G224*$A$205</f>
        <v>0.33500000000000002</v>
      </c>
      <c r="E451" s="473">
        <f>Лист1!H224</f>
        <v>12000</v>
      </c>
      <c r="F451" s="487">
        <f t="shared" si="15"/>
        <v>4020.0000000000005</v>
      </c>
    </row>
    <row r="452" spans="1:6" x14ac:dyDescent="0.25">
      <c r="A452" s="456" t="str">
        <f>Лист1!B225</f>
        <v xml:space="preserve">хозяйственно-бытовые товары </v>
      </c>
      <c r="B452" s="254" t="s">
        <v>91</v>
      </c>
      <c r="C452" s="93"/>
      <c r="D452" s="457">
        <f>Лист1!G225*$A$205</f>
        <v>0.33500000000000002</v>
      </c>
      <c r="E452" s="473">
        <f>Лист1!H225</f>
        <v>27000</v>
      </c>
      <c r="F452" s="487">
        <f t="shared" si="15"/>
        <v>9045</v>
      </c>
    </row>
    <row r="453" spans="1:6" x14ac:dyDescent="0.25">
      <c r="A453" s="457" t="str">
        <f>Лист1!B226</f>
        <v>антифриз для УАЗ</v>
      </c>
      <c r="B453" s="254" t="s">
        <v>91</v>
      </c>
      <c r="C453" s="93"/>
      <c r="D453" s="456">
        <f>Лист1!G226*$A$205</f>
        <v>0.33500000000000002</v>
      </c>
      <c r="E453" s="456">
        <f>Лист1!H226</f>
        <v>1000</v>
      </c>
      <c r="F453" s="253">
        <f t="shared" si="15"/>
        <v>335</v>
      </c>
    </row>
    <row r="454" spans="1:6" x14ac:dyDescent="0.25">
      <c r="A454" s="461"/>
      <c r="E454" s="93" t="s">
        <v>598</v>
      </c>
      <c r="F454" s="422">
        <f>SUM(F209:F453)</f>
        <v>262020.5849999999</v>
      </c>
    </row>
    <row r="455" spans="1:6" x14ac:dyDescent="0.25">
      <c r="A455" s="228"/>
    </row>
    <row r="456" spans="1:6" x14ac:dyDescent="0.25">
      <c r="A456" s="228"/>
    </row>
    <row r="457" spans="1:6" x14ac:dyDescent="0.25">
      <c r="A457" s="228"/>
    </row>
    <row r="458" spans="1:6" x14ac:dyDescent="0.25">
      <c r="A458" s="228"/>
    </row>
    <row r="459" spans="1:6" x14ac:dyDescent="0.25">
      <c r="A459" s="228"/>
    </row>
  </sheetData>
  <mergeCells count="129">
    <mergeCell ref="G91:G92"/>
    <mergeCell ref="A94:B94"/>
    <mergeCell ref="A142:B142"/>
    <mergeCell ref="A203:E203"/>
    <mergeCell ref="A204:F204"/>
    <mergeCell ref="A205:F205"/>
    <mergeCell ref="A206:A207"/>
    <mergeCell ref="B206:B207"/>
    <mergeCell ref="D206:D207"/>
    <mergeCell ref="E206:E207"/>
    <mergeCell ref="F206:F207"/>
    <mergeCell ref="A163:F163"/>
    <mergeCell ref="A164:F164"/>
    <mergeCell ref="A165:F165"/>
    <mergeCell ref="A167:A168"/>
    <mergeCell ref="B167:B168"/>
    <mergeCell ref="D167:D168"/>
    <mergeCell ref="E167:E168"/>
    <mergeCell ref="F167:F168"/>
    <mergeCell ref="A143:F143"/>
    <mergeCell ref="A158:A159"/>
    <mergeCell ref="B158:B159"/>
    <mergeCell ref="D158:D159"/>
    <mergeCell ref="E158:E159"/>
    <mergeCell ref="A133:F133"/>
    <mergeCell ref="A136:B136"/>
    <mergeCell ref="A123:A124"/>
    <mergeCell ref="B123:B124"/>
    <mergeCell ref="D123:D124"/>
    <mergeCell ref="E123:E124"/>
    <mergeCell ref="A137:B137"/>
    <mergeCell ref="A101:H101"/>
    <mergeCell ref="A102:A104"/>
    <mergeCell ref="B102:C104"/>
    <mergeCell ref="D102:F102"/>
    <mergeCell ref="D103:D104"/>
    <mergeCell ref="E103:E104"/>
    <mergeCell ref="F103:F104"/>
    <mergeCell ref="B105:C105"/>
    <mergeCell ref="D40:D41"/>
    <mergeCell ref="A29:H29"/>
    <mergeCell ref="E40:E41"/>
    <mergeCell ref="F40:F41"/>
    <mergeCell ref="B42:C42"/>
    <mergeCell ref="B43:C43"/>
    <mergeCell ref="B44:C44"/>
    <mergeCell ref="G158:G159"/>
    <mergeCell ref="A145:A146"/>
    <mergeCell ref="B145:B146"/>
    <mergeCell ref="D145:D146"/>
    <mergeCell ref="E145:E146"/>
    <mergeCell ref="F145:F146"/>
    <mergeCell ref="G145:G146"/>
    <mergeCell ref="A155:F155"/>
    <mergeCell ref="A156:F156"/>
    <mergeCell ref="F158:F159"/>
    <mergeCell ref="A111:F111"/>
    <mergeCell ref="A121:E121"/>
    <mergeCell ref="A138:B138"/>
    <mergeCell ref="A139:B139"/>
    <mergeCell ref="A140:B140"/>
    <mergeCell ref="F123:F124"/>
    <mergeCell ref="A132:E132"/>
    <mergeCell ref="E50:E51"/>
    <mergeCell ref="A50:B51"/>
    <mergeCell ref="A95:B95"/>
    <mergeCell ref="A92:B92"/>
    <mergeCell ref="A93:B93"/>
    <mergeCell ref="A96:B96"/>
    <mergeCell ref="A97:B97"/>
    <mergeCell ref="J20:J22"/>
    <mergeCell ref="G23:G24"/>
    <mergeCell ref="J23:J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G50:G51"/>
    <mergeCell ref="A52:B52"/>
    <mergeCell ref="A63:B63"/>
    <mergeCell ref="A91:B91"/>
    <mergeCell ref="A98:F98"/>
    <mergeCell ref="A19:B19"/>
    <mergeCell ref="B3:H3"/>
    <mergeCell ref="A4:E4"/>
    <mergeCell ref="A5:E5"/>
    <mergeCell ref="A6:E6"/>
    <mergeCell ref="A7:E7"/>
    <mergeCell ref="A16:F16"/>
    <mergeCell ref="A18:F18"/>
    <mergeCell ref="G61:G62"/>
    <mergeCell ref="A57:B57"/>
    <mergeCell ref="A59:F59"/>
    <mergeCell ref="A61:B62"/>
    <mergeCell ref="D61:D62"/>
    <mergeCell ref="E61:E62"/>
    <mergeCell ref="F61:F62"/>
    <mergeCell ref="D39:E39"/>
    <mergeCell ref="F50:F51"/>
    <mergeCell ref="A89:F89"/>
    <mergeCell ref="D50:D51"/>
    <mergeCell ref="A1:I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20:I23"/>
  </mergeCells>
  <printOptions horizontalCentered="1" verticalCentered="1"/>
  <pageMargins left="0.35433070866141736" right="0.31496062992125984" top="0.35433070866141736" bottom="0.35433070866141736" header="0" footer="0"/>
  <pageSetup paperSize="9" scale="42" fitToHeight="4" orientation="portrait" r:id="rId1"/>
  <rowBreaks count="3" manualBreakCount="3">
    <brk id="58" max="9" man="1"/>
    <brk id="142" max="9" man="1"/>
    <brk id="20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topLeftCell="A213" workbookViewId="0">
      <selection activeCell="B213" sqref="B213:F213"/>
    </sheetView>
  </sheetViews>
  <sheetFormatPr defaultRowHeight="15" x14ac:dyDescent="0.25"/>
  <sheetData>
    <row r="1" spans="1:11" ht="15" customHeight="1" x14ac:dyDescent="0.25">
      <c r="A1" s="261" t="s">
        <v>201</v>
      </c>
      <c r="B1" s="555" t="s">
        <v>122</v>
      </c>
      <c r="C1" s="555"/>
      <c r="D1" s="555"/>
      <c r="E1" s="555"/>
      <c r="F1" s="555"/>
      <c r="G1" s="261" t="s">
        <v>202</v>
      </c>
      <c r="H1" s="260" t="s">
        <v>203</v>
      </c>
      <c r="I1" s="555" t="s">
        <v>204</v>
      </c>
      <c r="J1" s="555"/>
      <c r="K1" s="555"/>
    </row>
    <row r="2" spans="1:11" ht="15" customHeight="1" x14ac:dyDescent="0.25">
      <c r="A2" s="261">
        <v>1</v>
      </c>
      <c r="B2" s="552">
        <v>2</v>
      </c>
      <c r="C2" s="631"/>
      <c r="D2" s="631"/>
      <c r="E2" s="631"/>
      <c r="F2" s="553"/>
      <c r="G2" s="261">
        <v>3</v>
      </c>
      <c r="H2" s="261">
        <v>4</v>
      </c>
      <c r="I2" s="632">
        <v>5</v>
      </c>
      <c r="J2" s="633"/>
      <c r="K2" s="634"/>
    </row>
    <row r="3" spans="1:11" ht="15" customHeight="1" x14ac:dyDescent="0.25">
      <c r="A3" s="261">
        <v>1</v>
      </c>
      <c r="B3" s="635" t="s">
        <v>304</v>
      </c>
      <c r="C3" s="636"/>
      <c r="D3" s="636"/>
      <c r="E3" s="636"/>
      <c r="F3" s="637"/>
      <c r="G3" s="456">
        <v>50</v>
      </c>
      <c r="H3" s="456">
        <v>28</v>
      </c>
      <c r="I3" s="483"/>
      <c r="J3" s="484"/>
      <c r="K3" s="485">
        <f>G3*H3</f>
        <v>1400</v>
      </c>
    </row>
    <row r="4" spans="1:11" ht="15" customHeight="1" x14ac:dyDescent="0.25">
      <c r="A4" s="261">
        <v>2</v>
      </c>
      <c r="B4" s="635" t="s">
        <v>305</v>
      </c>
      <c r="C4" s="636"/>
      <c r="D4" s="636"/>
      <c r="E4" s="636"/>
      <c r="F4" s="637"/>
      <c r="G4" s="456">
        <v>1</v>
      </c>
      <c r="H4" s="456">
        <v>5</v>
      </c>
      <c r="I4" s="483"/>
      <c r="J4" s="484"/>
      <c r="K4" s="485">
        <f>G4*H4</f>
        <v>5</v>
      </c>
    </row>
    <row r="5" spans="1:11" ht="15" customHeight="1" x14ac:dyDescent="0.25">
      <c r="A5" s="261">
        <v>3</v>
      </c>
      <c r="B5" s="635" t="s">
        <v>306</v>
      </c>
      <c r="C5" s="636"/>
      <c r="D5" s="636"/>
      <c r="E5" s="636"/>
      <c r="F5" s="637"/>
      <c r="G5" s="456">
        <v>5</v>
      </c>
      <c r="H5" s="456">
        <v>163</v>
      </c>
      <c r="I5" s="483"/>
      <c r="J5" s="484"/>
      <c r="K5" s="485">
        <f>G5*H5</f>
        <v>815</v>
      </c>
    </row>
    <row r="6" spans="1:11" ht="15" customHeight="1" x14ac:dyDescent="0.25">
      <c r="A6" s="261">
        <v>4</v>
      </c>
      <c r="B6" s="641" t="s">
        <v>307</v>
      </c>
      <c r="C6" s="641"/>
      <c r="D6" s="641"/>
      <c r="E6" s="641"/>
      <c r="F6" s="641"/>
      <c r="G6" s="456">
        <v>5</v>
      </c>
      <c r="H6" s="121">
        <v>180</v>
      </c>
      <c r="I6" s="638">
        <f t="shared" ref="I6:I60" si="0">G6*H6</f>
        <v>900</v>
      </c>
      <c r="J6" s="639"/>
      <c r="K6" s="640"/>
    </row>
    <row r="7" spans="1:11" ht="15" customHeight="1" x14ac:dyDescent="0.25">
      <c r="A7" s="261">
        <v>5</v>
      </c>
      <c r="B7" s="635" t="s">
        <v>308</v>
      </c>
      <c r="C7" s="636"/>
      <c r="D7" s="636"/>
      <c r="E7" s="636"/>
      <c r="F7" s="637"/>
      <c r="G7" s="456">
        <v>3</v>
      </c>
      <c r="H7" s="121">
        <v>379</v>
      </c>
      <c r="I7" s="638">
        <f t="shared" si="0"/>
        <v>1137</v>
      </c>
      <c r="J7" s="639"/>
      <c r="K7" s="640"/>
    </row>
    <row r="8" spans="1:11" ht="15" customHeight="1" x14ac:dyDescent="0.25">
      <c r="A8" s="261">
        <v>6</v>
      </c>
      <c r="B8" s="467" t="s">
        <v>309</v>
      </c>
      <c r="C8" s="468"/>
      <c r="D8" s="468"/>
      <c r="E8" s="468"/>
      <c r="F8" s="469"/>
      <c r="G8" s="456">
        <v>26</v>
      </c>
      <c r="H8" s="121">
        <v>76</v>
      </c>
      <c r="I8" s="638">
        <f t="shared" si="0"/>
        <v>1976</v>
      </c>
      <c r="J8" s="639"/>
      <c r="K8" s="640"/>
    </row>
    <row r="9" spans="1:11" x14ac:dyDescent="0.25">
      <c r="A9" s="261">
        <v>7</v>
      </c>
      <c r="B9" s="467" t="s">
        <v>310</v>
      </c>
      <c r="C9" s="468"/>
      <c r="D9" s="468"/>
      <c r="E9" s="468"/>
      <c r="F9" s="469"/>
      <c r="G9" s="456">
        <v>7</v>
      </c>
      <c r="H9" s="121">
        <v>28</v>
      </c>
      <c r="I9" s="638">
        <f t="shared" si="0"/>
        <v>196</v>
      </c>
      <c r="J9" s="639"/>
      <c r="K9" s="640"/>
    </row>
    <row r="10" spans="1:11" ht="15" customHeight="1" x14ac:dyDescent="0.25">
      <c r="A10" s="261">
        <v>8</v>
      </c>
      <c r="B10" s="467" t="s">
        <v>311</v>
      </c>
      <c r="C10" s="468"/>
      <c r="D10" s="468"/>
      <c r="E10" s="468"/>
      <c r="F10" s="469"/>
      <c r="G10" s="456">
        <v>10</v>
      </c>
      <c r="H10" s="121">
        <v>68</v>
      </c>
      <c r="I10" s="638">
        <f t="shared" si="0"/>
        <v>680</v>
      </c>
      <c r="J10" s="639"/>
      <c r="K10" s="640"/>
    </row>
    <row r="11" spans="1:11" ht="15" customHeight="1" x14ac:dyDescent="0.25">
      <c r="A11" s="261">
        <v>9</v>
      </c>
      <c r="B11" s="467" t="s">
        <v>311</v>
      </c>
      <c r="C11" s="468"/>
      <c r="D11" s="468"/>
      <c r="E11" s="468"/>
      <c r="F11" s="469"/>
      <c r="G11" s="456">
        <v>10</v>
      </c>
      <c r="H11" s="121">
        <v>105</v>
      </c>
      <c r="I11" s="638">
        <f t="shared" si="0"/>
        <v>1050</v>
      </c>
      <c r="J11" s="639"/>
      <c r="K11" s="640"/>
    </row>
    <row r="12" spans="1:11" ht="15" customHeight="1" x14ac:dyDescent="0.25">
      <c r="A12" s="261">
        <v>10</v>
      </c>
      <c r="B12" s="467" t="s">
        <v>311</v>
      </c>
      <c r="C12" s="468"/>
      <c r="D12" s="468"/>
      <c r="E12" s="468"/>
      <c r="F12" s="469"/>
      <c r="G12" s="456">
        <v>6</v>
      </c>
      <c r="H12" s="121">
        <v>93</v>
      </c>
      <c r="I12" s="638">
        <f t="shared" si="0"/>
        <v>558</v>
      </c>
      <c r="J12" s="639"/>
      <c r="K12" s="640"/>
    </row>
    <row r="13" spans="1:11" ht="15" customHeight="1" x14ac:dyDescent="0.25">
      <c r="A13" s="261">
        <v>11</v>
      </c>
      <c r="B13" s="467" t="s">
        <v>312</v>
      </c>
      <c r="C13" s="468"/>
      <c r="D13" s="468"/>
      <c r="E13" s="468"/>
      <c r="F13" s="469"/>
      <c r="G13" s="456">
        <v>2</v>
      </c>
      <c r="H13" s="121">
        <v>220</v>
      </c>
      <c r="I13" s="638">
        <f t="shared" si="0"/>
        <v>440</v>
      </c>
      <c r="J13" s="639"/>
      <c r="K13" s="640"/>
    </row>
    <row r="14" spans="1:11" ht="15" customHeight="1" x14ac:dyDescent="0.25">
      <c r="A14" s="261">
        <v>12</v>
      </c>
      <c r="B14" s="467" t="s">
        <v>313</v>
      </c>
      <c r="C14" s="468"/>
      <c r="D14" s="468"/>
      <c r="E14" s="468"/>
      <c r="F14" s="469"/>
      <c r="G14" s="456">
        <v>1</v>
      </c>
      <c r="H14" s="121">
        <v>543</v>
      </c>
      <c r="I14" s="638">
        <f t="shared" si="0"/>
        <v>543</v>
      </c>
      <c r="J14" s="639"/>
      <c r="K14" s="640"/>
    </row>
    <row r="15" spans="1:11" ht="15" customHeight="1" x14ac:dyDescent="0.25">
      <c r="A15" s="261">
        <v>13</v>
      </c>
      <c r="B15" s="635" t="s">
        <v>314</v>
      </c>
      <c r="C15" s="636"/>
      <c r="D15" s="636"/>
      <c r="E15" s="636"/>
      <c r="F15" s="637"/>
      <c r="G15" s="456">
        <v>3</v>
      </c>
      <c r="H15" s="121">
        <v>270</v>
      </c>
      <c r="I15" s="638">
        <f t="shared" si="0"/>
        <v>810</v>
      </c>
      <c r="J15" s="639"/>
      <c r="K15" s="640"/>
    </row>
    <row r="16" spans="1:11" ht="25.5" x14ac:dyDescent="0.25">
      <c r="A16" s="261">
        <v>14</v>
      </c>
      <c r="B16" s="467" t="s">
        <v>315</v>
      </c>
      <c r="C16" s="468"/>
      <c r="D16" s="468"/>
      <c r="E16" s="468"/>
      <c r="F16" s="469"/>
      <c r="G16" s="456">
        <v>3</v>
      </c>
      <c r="H16" s="121">
        <v>235</v>
      </c>
      <c r="I16" s="298"/>
      <c r="J16" s="299"/>
      <c r="K16" s="471">
        <f>G16*H16</f>
        <v>705</v>
      </c>
    </row>
    <row r="17" spans="1:11" ht="15" customHeight="1" x14ac:dyDescent="0.25">
      <c r="A17" s="261">
        <v>15</v>
      </c>
      <c r="B17" s="467" t="s">
        <v>309</v>
      </c>
      <c r="C17" s="468"/>
      <c r="D17" s="468"/>
      <c r="E17" s="468"/>
      <c r="F17" s="469"/>
      <c r="G17" s="456">
        <v>5</v>
      </c>
      <c r="H17" s="121">
        <v>165</v>
      </c>
      <c r="I17" s="298"/>
      <c r="J17" s="299"/>
      <c r="K17" s="471">
        <f t="shared" ref="K17:K49" si="1">G17*H17</f>
        <v>825</v>
      </c>
    </row>
    <row r="18" spans="1:11" ht="15" customHeight="1" x14ac:dyDescent="0.25">
      <c r="A18" s="261">
        <v>16</v>
      </c>
      <c r="B18" s="635" t="s">
        <v>316</v>
      </c>
      <c r="C18" s="636"/>
      <c r="D18" s="636"/>
      <c r="E18" s="636"/>
      <c r="F18" s="637"/>
      <c r="G18" s="456">
        <v>2</v>
      </c>
      <c r="H18" s="121">
        <v>280</v>
      </c>
      <c r="I18" s="298"/>
      <c r="J18" s="299"/>
      <c r="K18" s="471">
        <f t="shared" si="1"/>
        <v>560</v>
      </c>
    </row>
    <row r="19" spans="1:11" ht="15" customHeight="1" x14ac:dyDescent="0.25">
      <c r="A19" s="261">
        <v>17</v>
      </c>
      <c r="B19" s="467" t="s">
        <v>317</v>
      </c>
      <c r="C19" s="468"/>
      <c r="D19" s="468"/>
      <c r="E19" s="468"/>
      <c r="F19" s="469"/>
      <c r="G19" s="456">
        <v>12</v>
      </c>
      <c r="H19" s="121">
        <v>120</v>
      </c>
      <c r="I19" s="298"/>
      <c r="J19" s="299"/>
      <c r="K19" s="471">
        <f t="shared" si="1"/>
        <v>1440</v>
      </c>
    </row>
    <row r="20" spans="1:11" ht="15" customHeight="1" x14ac:dyDescent="0.25">
      <c r="A20" s="261">
        <v>18</v>
      </c>
      <c r="B20" s="467" t="s">
        <v>318</v>
      </c>
      <c r="C20" s="468"/>
      <c r="D20" s="468"/>
      <c r="E20" s="468"/>
      <c r="F20" s="469"/>
      <c r="G20" s="456">
        <v>2</v>
      </c>
      <c r="H20" s="121">
        <v>77</v>
      </c>
      <c r="I20" s="298"/>
      <c r="J20" s="299"/>
      <c r="K20" s="471">
        <f t="shared" si="1"/>
        <v>154</v>
      </c>
    </row>
    <row r="21" spans="1:11" ht="15" customHeight="1" x14ac:dyDescent="0.25">
      <c r="A21" s="261">
        <v>19</v>
      </c>
      <c r="B21" s="467" t="s">
        <v>319</v>
      </c>
      <c r="C21" s="468"/>
      <c r="D21" s="468"/>
      <c r="E21" s="468"/>
      <c r="F21" s="469"/>
      <c r="G21" s="456">
        <v>1</v>
      </c>
      <c r="H21" s="121">
        <v>220</v>
      </c>
      <c r="I21" s="298"/>
      <c r="J21" s="299"/>
      <c r="K21" s="471">
        <f t="shared" si="1"/>
        <v>220</v>
      </c>
    </row>
    <row r="22" spans="1:11" ht="15" customHeight="1" x14ac:dyDescent="0.25">
      <c r="A22" s="261">
        <v>20</v>
      </c>
      <c r="B22" s="467" t="s">
        <v>320</v>
      </c>
      <c r="C22" s="468"/>
      <c r="D22" s="468"/>
      <c r="E22" s="468"/>
      <c r="F22" s="469"/>
      <c r="G22" s="456">
        <v>1</v>
      </c>
      <c r="H22" s="121">
        <v>193</v>
      </c>
      <c r="I22" s="298"/>
      <c r="J22" s="299"/>
      <c r="K22" s="471">
        <f t="shared" si="1"/>
        <v>193</v>
      </c>
    </row>
    <row r="23" spans="1:11" ht="15" customHeight="1" x14ac:dyDescent="0.25">
      <c r="A23" s="261">
        <v>21</v>
      </c>
      <c r="B23" s="467" t="s">
        <v>321</v>
      </c>
      <c r="C23" s="468"/>
      <c r="D23" s="468"/>
      <c r="E23" s="468"/>
      <c r="F23" s="469"/>
      <c r="G23" s="456">
        <v>4</v>
      </c>
      <c r="H23" s="121">
        <v>270</v>
      </c>
      <c r="I23" s="298"/>
      <c r="J23" s="299"/>
      <c r="K23" s="471">
        <f t="shared" si="1"/>
        <v>1080</v>
      </c>
    </row>
    <row r="24" spans="1:11" ht="15" customHeight="1" x14ac:dyDescent="0.25">
      <c r="A24" s="261">
        <v>22</v>
      </c>
      <c r="B24" s="467" t="s">
        <v>322</v>
      </c>
      <c r="C24" s="468"/>
      <c r="D24" s="468"/>
      <c r="E24" s="468"/>
      <c r="F24" s="469"/>
      <c r="G24" s="456">
        <v>5</v>
      </c>
      <c r="H24" s="121">
        <v>54</v>
      </c>
      <c r="I24" s="298"/>
      <c r="J24" s="299"/>
      <c r="K24" s="471">
        <f t="shared" si="1"/>
        <v>270</v>
      </c>
    </row>
    <row r="25" spans="1:11" ht="15" customHeight="1" x14ac:dyDescent="0.25">
      <c r="A25" s="261">
        <v>23</v>
      </c>
      <c r="B25" s="467" t="s">
        <v>323</v>
      </c>
      <c r="C25" s="468"/>
      <c r="D25" s="468"/>
      <c r="E25" s="468"/>
      <c r="F25" s="469"/>
      <c r="G25" s="456">
        <v>2</v>
      </c>
      <c r="H25" s="121">
        <v>223</v>
      </c>
      <c r="I25" s="298"/>
      <c r="J25" s="299"/>
      <c r="K25" s="471">
        <f t="shared" si="1"/>
        <v>446</v>
      </c>
    </row>
    <row r="26" spans="1:11" ht="15" customHeight="1" x14ac:dyDescent="0.25">
      <c r="A26" s="261">
        <v>24</v>
      </c>
      <c r="B26" s="467" t="s">
        <v>323</v>
      </c>
      <c r="C26" s="468"/>
      <c r="D26" s="468"/>
      <c r="E26" s="468"/>
      <c r="F26" s="469"/>
      <c r="G26" s="456">
        <v>2</v>
      </c>
      <c r="H26" s="121">
        <v>90</v>
      </c>
      <c r="I26" s="298"/>
      <c r="J26" s="299"/>
      <c r="K26" s="471">
        <f t="shared" si="1"/>
        <v>180</v>
      </c>
    </row>
    <row r="27" spans="1:11" ht="15" customHeight="1" x14ac:dyDescent="0.25">
      <c r="A27" s="261">
        <v>25</v>
      </c>
      <c r="B27" s="467" t="s">
        <v>324</v>
      </c>
      <c r="C27" s="468"/>
      <c r="D27" s="468"/>
      <c r="E27" s="468"/>
      <c r="F27" s="469"/>
      <c r="G27" s="456">
        <v>199</v>
      </c>
      <c r="H27" s="121">
        <v>1</v>
      </c>
      <c r="I27" s="298"/>
      <c r="J27" s="299"/>
      <c r="K27" s="471">
        <f t="shared" si="1"/>
        <v>199</v>
      </c>
    </row>
    <row r="28" spans="1:11" ht="15" customHeight="1" x14ac:dyDescent="0.25">
      <c r="A28" s="261">
        <v>26</v>
      </c>
      <c r="B28" s="467" t="s">
        <v>325</v>
      </c>
      <c r="C28" s="468"/>
      <c r="D28" s="468"/>
      <c r="E28" s="468"/>
      <c r="F28" s="469"/>
      <c r="G28" s="456">
        <v>1</v>
      </c>
      <c r="H28" s="121">
        <v>371</v>
      </c>
      <c r="I28" s="298"/>
      <c r="J28" s="299"/>
      <c r="K28" s="471">
        <f t="shared" si="1"/>
        <v>371</v>
      </c>
    </row>
    <row r="29" spans="1:11" ht="15" customHeight="1" x14ac:dyDescent="0.25">
      <c r="A29" s="261">
        <v>27</v>
      </c>
      <c r="B29" s="467" t="s">
        <v>326</v>
      </c>
      <c r="C29" s="468"/>
      <c r="D29" s="468"/>
      <c r="E29" s="468"/>
      <c r="F29" s="469"/>
      <c r="G29" s="456">
        <v>1</v>
      </c>
      <c r="H29" s="121">
        <v>329</v>
      </c>
      <c r="I29" s="298"/>
      <c r="J29" s="299"/>
      <c r="K29" s="471">
        <f t="shared" si="1"/>
        <v>329</v>
      </c>
    </row>
    <row r="30" spans="1:11" ht="15" customHeight="1" x14ac:dyDescent="0.25">
      <c r="A30" s="261">
        <v>28</v>
      </c>
      <c r="B30" s="467" t="s">
        <v>327</v>
      </c>
      <c r="C30" s="468"/>
      <c r="D30" s="468"/>
      <c r="E30" s="468"/>
      <c r="F30" s="469"/>
      <c r="G30" s="456">
        <v>1</v>
      </c>
      <c r="H30" s="121">
        <v>101</v>
      </c>
      <c r="I30" s="298"/>
      <c r="J30" s="299"/>
      <c r="K30" s="471">
        <f t="shared" si="1"/>
        <v>101</v>
      </c>
    </row>
    <row r="31" spans="1:11" x14ac:dyDescent="0.25">
      <c r="A31" s="261">
        <v>29</v>
      </c>
      <c r="B31" s="467" t="s">
        <v>327</v>
      </c>
      <c r="C31" s="468"/>
      <c r="D31" s="468"/>
      <c r="E31" s="468"/>
      <c r="F31" s="469"/>
      <c r="G31" s="456">
        <v>1</v>
      </c>
      <c r="H31" s="121">
        <v>61</v>
      </c>
      <c r="I31" s="298"/>
      <c r="J31" s="299"/>
      <c r="K31" s="471">
        <f t="shared" si="1"/>
        <v>61</v>
      </c>
    </row>
    <row r="32" spans="1:11" ht="15" customHeight="1" x14ac:dyDescent="0.25">
      <c r="A32" s="456">
        <v>30</v>
      </c>
      <c r="B32" s="467" t="s">
        <v>328</v>
      </c>
      <c r="C32" s="468"/>
      <c r="D32" s="468"/>
      <c r="E32" s="468"/>
      <c r="F32" s="469"/>
      <c r="G32" s="456">
        <v>1</v>
      </c>
      <c r="H32" s="121">
        <v>582</v>
      </c>
      <c r="I32" s="298"/>
      <c r="J32" s="299"/>
      <c r="K32" s="471">
        <f t="shared" si="1"/>
        <v>582</v>
      </c>
    </row>
    <row r="33" spans="1:11" ht="15" customHeight="1" x14ac:dyDescent="0.25">
      <c r="A33" s="456">
        <v>31</v>
      </c>
      <c r="B33" s="467" t="s">
        <v>328</v>
      </c>
      <c r="C33" s="468"/>
      <c r="D33" s="468"/>
      <c r="E33" s="468"/>
      <c r="F33" s="469"/>
      <c r="G33" s="456">
        <v>1</v>
      </c>
      <c r="H33" s="121">
        <v>449</v>
      </c>
      <c r="I33" s="298"/>
      <c r="J33" s="299"/>
      <c r="K33" s="471">
        <f t="shared" si="1"/>
        <v>449</v>
      </c>
    </row>
    <row r="34" spans="1:11" ht="15" customHeight="1" x14ac:dyDescent="0.25">
      <c r="A34" s="456">
        <v>32</v>
      </c>
      <c r="B34" s="467" t="s">
        <v>329</v>
      </c>
      <c r="C34" s="468"/>
      <c r="D34" s="468"/>
      <c r="E34" s="468"/>
      <c r="F34" s="469"/>
      <c r="G34" s="456">
        <v>1</v>
      </c>
      <c r="H34" s="121">
        <v>800</v>
      </c>
      <c r="I34" s="298"/>
      <c r="J34" s="299"/>
      <c r="K34" s="471">
        <f t="shared" si="1"/>
        <v>800</v>
      </c>
    </row>
    <row r="35" spans="1:11" x14ac:dyDescent="0.25">
      <c r="A35" s="456">
        <v>33</v>
      </c>
      <c r="B35" s="467" t="s">
        <v>330</v>
      </c>
      <c r="C35" s="468"/>
      <c r="D35" s="468"/>
      <c r="E35" s="468"/>
      <c r="F35" s="469"/>
      <c r="G35" s="456">
        <v>200</v>
      </c>
      <c r="H35" s="121">
        <v>28</v>
      </c>
      <c r="I35" s="298"/>
      <c r="J35" s="299"/>
      <c r="K35" s="471">
        <f t="shared" si="1"/>
        <v>5600</v>
      </c>
    </row>
    <row r="36" spans="1:11" x14ac:dyDescent="0.25">
      <c r="A36" s="456">
        <v>34</v>
      </c>
      <c r="B36" s="467" t="s">
        <v>331</v>
      </c>
      <c r="C36" s="468"/>
      <c r="D36" s="468"/>
      <c r="E36" s="468"/>
      <c r="F36" s="469"/>
      <c r="G36" s="456">
        <v>200</v>
      </c>
      <c r="H36" s="121">
        <v>43</v>
      </c>
      <c r="I36" s="298"/>
      <c r="J36" s="299"/>
      <c r="K36" s="471">
        <f t="shared" si="1"/>
        <v>8600</v>
      </c>
    </row>
    <row r="37" spans="1:11" x14ac:dyDescent="0.25">
      <c r="A37" s="456">
        <v>35</v>
      </c>
      <c r="B37" s="467" t="s">
        <v>332</v>
      </c>
      <c r="C37" s="468"/>
      <c r="D37" s="468"/>
      <c r="E37" s="468"/>
      <c r="F37" s="469"/>
      <c r="G37" s="456">
        <v>5</v>
      </c>
      <c r="H37" s="121">
        <v>50</v>
      </c>
      <c r="I37" s="298"/>
      <c r="J37" s="299"/>
      <c r="K37" s="471">
        <f t="shared" si="1"/>
        <v>250</v>
      </c>
    </row>
    <row r="38" spans="1:11" ht="38.25" x14ac:dyDescent="0.25">
      <c r="A38" s="456">
        <v>36</v>
      </c>
      <c r="B38" s="467" t="s">
        <v>333</v>
      </c>
      <c r="C38" s="468"/>
      <c r="D38" s="468"/>
      <c r="E38" s="468"/>
      <c r="F38" s="469"/>
      <c r="G38" s="456">
        <v>10</v>
      </c>
      <c r="H38" s="121">
        <v>15</v>
      </c>
      <c r="I38" s="298"/>
      <c r="J38" s="299"/>
      <c r="K38" s="471">
        <f t="shared" si="1"/>
        <v>150</v>
      </c>
    </row>
    <row r="39" spans="1:11" x14ac:dyDescent="0.25">
      <c r="A39" s="456">
        <v>37</v>
      </c>
      <c r="B39" s="467" t="s">
        <v>306</v>
      </c>
      <c r="C39" s="468"/>
      <c r="D39" s="468"/>
      <c r="E39" s="468"/>
      <c r="F39" s="469"/>
      <c r="G39" s="456">
        <v>10</v>
      </c>
      <c r="H39" s="121">
        <v>219</v>
      </c>
      <c r="I39" s="298"/>
      <c r="J39" s="299"/>
      <c r="K39" s="471">
        <f t="shared" si="1"/>
        <v>2190</v>
      </c>
    </row>
    <row r="40" spans="1:11" x14ac:dyDescent="0.25">
      <c r="A40" s="456">
        <v>38</v>
      </c>
      <c r="B40" s="467" t="s">
        <v>306</v>
      </c>
      <c r="C40" s="468"/>
      <c r="D40" s="468"/>
      <c r="E40" s="468"/>
      <c r="F40" s="469"/>
      <c r="G40" s="456">
        <v>5</v>
      </c>
      <c r="H40" s="121">
        <v>163</v>
      </c>
      <c r="I40" s="298"/>
      <c r="J40" s="299"/>
      <c r="K40" s="471">
        <f t="shared" si="1"/>
        <v>815</v>
      </c>
    </row>
    <row r="41" spans="1:11" ht="25.5" x14ac:dyDescent="0.25">
      <c r="A41" s="456">
        <v>39</v>
      </c>
      <c r="B41" s="467" t="s">
        <v>334</v>
      </c>
      <c r="C41" s="468"/>
      <c r="D41" s="468"/>
      <c r="E41" s="468"/>
      <c r="F41" s="469"/>
      <c r="G41" s="456">
        <v>1</v>
      </c>
      <c r="H41" s="121">
        <v>180</v>
      </c>
      <c r="I41" s="298"/>
      <c r="J41" s="299"/>
      <c r="K41" s="471">
        <f t="shared" si="1"/>
        <v>180</v>
      </c>
    </row>
    <row r="42" spans="1:11" x14ac:dyDescent="0.25">
      <c r="A42" s="456">
        <v>40</v>
      </c>
      <c r="B42" s="467" t="s">
        <v>335</v>
      </c>
      <c r="C42" s="468"/>
      <c r="D42" s="468"/>
      <c r="E42" s="468"/>
      <c r="F42" s="469"/>
      <c r="G42" s="456">
        <v>4</v>
      </c>
      <c r="H42" s="121">
        <v>90</v>
      </c>
      <c r="I42" s="298"/>
      <c r="J42" s="299"/>
      <c r="K42" s="471">
        <f t="shared" si="1"/>
        <v>360</v>
      </c>
    </row>
    <row r="43" spans="1:11" ht="25.5" x14ac:dyDescent="0.25">
      <c r="A43" s="456">
        <v>41</v>
      </c>
      <c r="B43" s="467" t="s">
        <v>336</v>
      </c>
      <c r="C43" s="468"/>
      <c r="D43" s="468"/>
      <c r="E43" s="468"/>
      <c r="F43" s="469"/>
      <c r="G43" s="456">
        <v>730</v>
      </c>
      <c r="H43" s="121">
        <v>1</v>
      </c>
      <c r="I43" s="298"/>
      <c r="J43" s="299"/>
      <c r="K43" s="471">
        <f t="shared" si="1"/>
        <v>730</v>
      </c>
    </row>
    <row r="44" spans="1:11" ht="25.5" x14ac:dyDescent="0.25">
      <c r="A44" s="456">
        <v>42</v>
      </c>
      <c r="B44" s="467" t="s">
        <v>337</v>
      </c>
      <c r="C44" s="468"/>
      <c r="D44" s="468"/>
      <c r="E44" s="468"/>
      <c r="F44" s="469"/>
      <c r="G44" s="456">
        <v>900</v>
      </c>
      <c r="H44" s="121">
        <v>1.5</v>
      </c>
      <c r="I44" s="298"/>
      <c r="J44" s="299"/>
      <c r="K44" s="471">
        <f t="shared" si="1"/>
        <v>1350</v>
      </c>
    </row>
    <row r="45" spans="1:11" ht="25.5" x14ac:dyDescent="0.25">
      <c r="A45" s="456">
        <v>43</v>
      </c>
      <c r="B45" s="467" t="s">
        <v>338</v>
      </c>
      <c r="C45" s="468"/>
      <c r="D45" s="468"/>
      <c r="E45" s="468"/>
      <c r="F45" s="469"/>
      <c r="G45" s="456">
        <v>3</v>
      </c>
      <c r="H45" s="121">
        <v>200</v>
      </c>
      <c r="I45" s="298"/>
      <c r="J45" s="299"/>
      <c r="K45" s="471">
        <f t="shared" si="1"/>
        <v>600</v>
      </c>
    </row>
    <row r="46" spans="1:11" ht="25.5" x14ac:dyDescent="0.25">
      <c r="A46" s="456">
        <v>44</v>
      </c>
      <c r="B46" s="467" t="s">
        <v>339</v>
      </c>
      <c r="C46" s="468"/>
      <c r="D46" s="468"/>
      <c r="E46" s="468"/>
      <c r="F46" s="469"/>
      <c r="G46" s="456">
        <v>10</v>
      </c>
      <c r="H46" s="121">
        <v>279</v>
      </c>
      <c r="I46" s="298"/>
      <c r="J46" s="299"/>
      <c r="K46" s="471">
        <f t="shared" si="1"/>
        <v>2790</v>
      </c>
    </row>
    <row r="47" spans="1:11" ht="25.5" x14ac:dyDescent="0.25">
      <c r="A47" s="456">
        <v>45</v>
      </c>
      <c r="B47" s="467" t="s">
        <v>340</v>
      </c>
      <c r="C47" s="468"/>
      <c r="D47" s="468"/>
      <c r="E47" s="468"/>
      <c r="F47" s="469"/>
      <c r="G47" s="456">
        <v>20</v>
      </c>
      <c r="H47" s="121">
        <v>950</v>
      </c>
      <c r="I47" s="298"/>
      <c r="J47" s="299"/>
      <c r="K47" s="471">
        <f t="shared" si="1"/>
        <v>19000</v>
      </c>
    </row>
    <row r="48" spans="1:11" x14ac:dyDescent="0.25">
      <c r="A48" s="456">
        <v>46</v>
      </c>
      <c r="B48" s="467" t="s">
        <v>341</v>
      </c>
      <c r="C48" s="468"/>
      <c r="D48" s="468"/>
      <c r="E48" s="468"/>
      <c r="F48" s="469"/>
      <c r="G48" s="456">
        <v>1</v>
      </c>
      <c r="H48" s="121">
        <v>1430</v>
      </c>
      <c r="I48" s="298"/>
      <c r="J48" s="299"/>
      <c r="K48" s="471">
        <f t="shared" si="1"/>
        <v>1430</v>
      </c>
    </row>
    <row r="49" spans="1:11" x14ac:dyDescent="0.25">
      <c r="A49" s="456">
        <v>47</v>
      </c>
      <c r="B49" s="467" t="s">
        <v>342</v>
      </c>
      <c r="C49" s="468"/>
      <c r="D49" s="468"/>
      <c r="E49" s="468"/>
      <c r="F49" s="469"/>
      <c r="G49" s="456">
        <v>25</v>
      </c>
      <c r="H49" s="121">
        <v>55</v>
      </c>
      <c r="I49" s="298"/>
      <c r="J49" s="299"/>
      <c r="K49" s="471">
        <f t="shared" si="1"/>
        <v>1375</v>
      </c>
    </row>
    <row r="50" spans="1:11" ht="15" customHeight="1" x14ac:dyDescent="0.25">
      <c r="A50" s="456">
        <v>48</v>
      </c>
      <c r="B50" s="635" t="s">
        <v>585</v>
      </c>
      <c r="C50" s="636"/>
      <c r="D50" s="636"/>
      <c r="E50" s="636"/>
      <c r="F50" s="637"/>
      <c r="G50" s="456"/>
      <c r="H50" s="121">
        <v>6207</v>
      </c>
      <c r="I50" s="299"/>
      <c r="J50" s="299"/>
      <c r="K50" s="471">
        <v>6207</v>
      </c>
    </row>
    <row r="51" spans="1:11" ht="15" customHeight="1" x14ac:dyDescent="0.25">
      <c r="A51" s="456">
        <v>49</v>
      </c>
      <c r="B51" s="635" t="s">
        <v>586</v>
      </c>
      <c r="C51" s="636"/>
      <c r="D51" s="636"/>
      <c r="E51" s="636"/>
      <c r="F51" s="637"/>
      <c r="G51" s="456"/>
      <c r="H51" s="121">
        <v>6200</v>
      </c>
      <c r="I51" s="299"/>
      <c r="J51" s="299"/>
      <c r="K51" s="471">
        <v>6200</v>
      </c>
    </row>
    <row r="52" spans="1:11" ht="15" customHeight="1" x14ac:dyDescent="0.25">
      <c r="A52" s="456">
        <v>50</v>
      </c>
      <c r="B52" s="642" t="s">
        <v>193</v>
      </c>
      <c r="C52" s="642"/>
      <c r="D52" s="642"/>
      <c r="E52" s="642"/>
      <c r="F52" s="642"/>
      <c r="G52" s="456">
        <v>70.147999999999996</v>
      </c>
      <c r="H52" s="121">
        <v>50</v>
      </c>
      <c r="I52" s="643">
        <f>G52*H52</f>
        <v>3507.3999999999996</v>
      </c>
      <c r="J52" s="644"/>
      <c r="K52" s="644"/>
    </row>
    <row r="53" spans="1:11" ht="15" customHeight="1" x14ac:dyDescent="0.25">
      <c r="A53" s="456">
        <v>51</v>
      </c>
      <c r="B53" s="645" t="s">
        <v>587</v>
      </c>
      <c r="C53" s="646"/>
      <c r="D53" s="646"/>
      <c r="E53" s="646"/>
      <c r="F53" s="647"/>
      <c r="G53" s="456"/>
      <c r="H53" s="121">
        <v>9100</v>
      </c>
      <c r="I53" s="294"/>
      <c r="J53" s="294"/>
      <c r="K53" s="466">
        <v>9100</v>
      </c>
    </row>
    <row r="54" spans="1:11" ht="15" customHeight="1" x14ac:dyDescent="0.25">
      <c r="A54" s="456">
        <v>52</v>
      </c>
      <c r="B54" s="648" t="s">
        <v>343</v>
      </c>
      <c r="C54" s="648"/>
      <c r="D54" s="648"/>
      <c r="E54" s="648"/>
      <c r="F54" s="648"/>
      <c r="G54" s="472">
        <v>6</v>
      </c>
      <c r="H54" s="256">
        <v>2000</v>
      </c>
      <c r="I54" s="638">
        <f t="shared" si="0"/>
        <v>12000</v>
      </c>
      <c r="J54" s="639"/>
      <c r="K54" s="640"/>
    </row>
    <row r="55" spans="1:11" ht="15" customHeight="1" x14ac:dyDescent="0.25">
      <c r="A55" s="456">
        <v>53</v>
      </c>
      <c r="B55" s="645" t="s">
        <v>344</v>
      </c>
      <c r="C55" s="646"/>
      <c r="D55" s="646"/>
      <c r="E55" s="646"/>
      <c r="F55" s="647"/>
      <c r="G55" s="456">
        <v>2</v>
      </c>
      <c r="H55" s="121">
        <v>1500</v>
      </c>
      <c r="I55" s="623">
        <f t="shared" si="0"/>
        <v>3000</v>
      </c>
      <c r="J55" s="623"/>
      <c r="K55" s="623"/>
    </row>
    <row r="56" spans="1:11" ht="15" customHeight="1" x14ac:dyDescent="0.25">
      <c r="A56" s="456">
        <v>54</v>
      </c>
      <c r="B56" s="649" t="s">
        <v>345</v>
      </c>
      <c r="C56" s="650"/>
      <c r="D56" s="650"/>
      <c r="E56" s="650"/>
      <c r="F56" s="651"/>
      <c r="G56" s="456">
        <v>10</v>
      </c>
      <c r="H56" s="121">
        <v>900</v>
      </c>
      <c r="I56" s="623">
        <f t="shared" si="0"/>
        <v>9000</v>
      </c>
      <c r="J56" s="623"/>
      <c r="K56" s="623"/>
    </row>
    <row r="57" spans="1:11" ht="15" customHeight="1" x14ac:dyDescent="0.25">
      <c r="A57" s="456">
        <v>55</v>
      </c>
      <c r="B57" s="649" t="s">
        <v>346</v>
      </c>
      <c r="C57" s="650"/>
      <c r="D57" s="650"/>
      <c r="E57" s="650"/>
      <c r="F57" s="651"/>
      <c r="G57" s="456">
        <v>10</v>
      </c>
      <c r="H57" s="121">
        <v>700</v>
      </c>
      <c r="I57" s="623">
        <f t="shared" si="0"/>
        <v>7000</v>
      </c>
      <c r="J57" s="623"/>
      <c r="K57" s="623"/>
    </row>
    <row r="58" spans="1:11" ht="15" customHeight="1" x14ac:dyDescent="0.25">
      <c r="A58" s="456">
        <v>56</v>
      </c>
      <c r="B58" s="649" t="s">
        <v>347</v>
      </c>
      <c r="C58" s="650"/>
      <c r="D58" s="650"/>
      <c r="E58" s="650"/>
      <c r="F58" s="651"/>
      <c r="G58" s="456">
        <v>20</v>
      </c>
      <c r="H58" s="121">
        <v>350</v>
      </c>
      <c r="I58" s="623">
        <f t="shared" si="0"/>
        <v>7000</v>
      </c>
      <c r="J58" s="623"/>
      <c r="K58" s="623"/>
    </row>
    <row r="59" spans="1:11" ht="15" customHeight="1" x14ac:dyDescent="0.25">
      <c r="A59" s="456">
        <v>57</v>
      </c>
      <c r="B59" s="649" t="s">
        <v>348</v>
      </c>
      <c r="C59" s="650"/>
      <c r="D59" s="650"/>
      <c r="E59" s="650"/>
      <c r="F59" s="651"/>
      <c r="G59" s="456">
        <v>2</v>
      </c>
      <c r="H59" s="121">
        <v>1500</v>
      </c>
      <c r="I59" s="623">
        <f t="shared" si="0"/>
        <v>3000</v>
      </c>
      <c r="J59" s="623"/>
      <c r="K59" s="623"/>
    </row>
    <row r="60" spans="1:11" ht="15" customHeight="1" x14ac:dyDescent="0.25">
      <c r="A60" s="456">
        <v>58</v>
      </c>
      <c r="B60" s="649" t="s">
        <v>349</v>
      </c>
      <c r="C60" s="650"/>
      <c r="D60" s="650"/>
      <c r="E60" s="650"/>
      <c r="F60" s="651"/>
      <c r="G60" s="456">
        <v>2</v>
      </c>
      <c r="H60" s="121">
        <v>4800</v>
      </c>
      <c r="I60" s="623">
        <f t="shared" si="0"/>
        <v>9600</v>
      </c>
      <c r="J60" s="623"/>
      <c r="K60" s="623"/>
    </row>
    <row r="61" spans="1:11" ht="15" customHeight="1" x14ac:dyDescent="0.25">
      <c r="A61" s="456">
        <v>59</v>
      </c>
      <c r="B61" s="630" t="s">
        <v>350</v>
      </c>
      <c r="C61" s="630"/>
      <c r="D61" s="630"/>
      <c r="E61" s="630"/>
      <c r="F61" s="630"/>
      <c r="G61" s="369">
        <v>1</v>
      </c>
      <c r="H61" s="370">
        <v>6900</v>
      </c>
      <c r="I61" s="294"/>
      <c r="J61" s="294"/>
      <c r="K61" s="466">
        <f>G61*H61</f>
        <v>6900</v>
      </c>
    </row>
    <row r="62" spans="1:11" ht="15" customHeight="1" x14ac:dyDescent="0.25">
      <c r="A62" s="456">
        <v>60</v>
      </c>
      <c r="B62" s="630" t="s">
        <v>351</v>
      </c>
      <c r="C62" s="630"/>
      <c r="D62" s="630"/>
      <c r="E62" s="630"/>
      <c r="F62" s="630"/>
      <c r="G62" s="369">
        <v>4</v>
      </c>
      <c r="H62" s="370">
        <v>1560</v>
      </c>
      <c r="I62" s="294"/>
      <c r="J62" s="294"/>
      <c r="K62" s="466">
        <f t="shared" ref="K62:K114" si="2">G62*H62</f>
        <v>6240</v>
      </c>
    </row>
    <row r="63" spans="1:11" ht="15" customHeight="1" x14ac:dyDescent="0.25">
      <c r="A63" s="456">
        <v>61</v>
      </c>
      <c r="B63" s="630" t="s">
        <v>352</v>
      </c>
      <c r="C63" s="630"/>
      <c r="D63" s="630"/>
      <c r="E63" s="630"/>
      <c r="F63" s="630"/>
      <c r="G63" s="369">
        <v>16</v>
      </c>
      <c r="H63" s="370">
        <v>20</v>
      </c>
      <c r="I63" s="294"/>
      <c r="J63" s="294"/>
      <c r="K63" s="466">
        <f t="shared" si="2"/>
        <v>320</v>
      </c>
    </row>
    <row r="64" spans="1:11" ht="15" customHeight="1" x14ac:dyDescent="0.25">
      <c r="A64" s="456">
        <v>62</v>
      </c>
      <c r="B64" s="630" t="s">
        <v>353</v>
      </c>
      <c r="C64" s="630"/>
      <c r="D64" s="630"/>
      <c r="E64" s="630"/>
      <c r="F64" s="630"/>
      <c r="G64" s="369">
        <v>24</v>
      </c>
      <c r="H64" s="370">
        <v>12</v>
      </c>
      <c r="I64" s="294"/>
      <c r="J64" s="294"/>
      <c r="K64" s="466">
        <f t="shared" si="2"/>
        <v>288</v>
      </c>
    </row>
    <row r="65" spans="1:11" ht="15" customHeight="1" x14ac:dyDescent="0.25">
      <c r="A65" s="456">
        <v>63</v>
      </c>
      <c r="B65" s="630" t="s">
        <v>354</v>
      </c>
      <c r="C65" s="630"/>
      <c r="D65" s="630"/>
      <c r="E65" s="630"/>
      <c r="F65" s="630"/>
      <c r="G65" s="369">
        <v>8</v>
      </c>
      <c r="H65" s="370">
        <v>50</v>
      </c>
      <c r="I65" s="294"/>
      <c r="J65" s="294"/>
      <c r="K65" s="466">
        <f t="shared" si="2"/>
        <v>400</v>
      </c>
    </row>
    <row r="66" spans="1:11" ht="15" customHeight="1" x14ac:dyDescent="0.25">
      <c r="A66" s="456">
        <v>64</v>
      </c>
      <c r="B66" s="630" t="s">
        <v>355</v>
      </c>
      <c r="C66" s="630"/>
      <c r="D66" s="630"/>
      <c r="E66" s="630"/>
      <c r="F66" s="630"/>
      <c r="G66" s="369">
        <v>20</v>
      </c>
      <c r="H66" s="370">
        <v>36</v>
      </c>
      <c r="I66" s="294"/>
      <c r="J66" s="294"/>
      <c r="K66" s="466">
        <f t="shared" si="2"/>
        <v>720</v>
      </c>
    </row>
    <row r="67" spans="1:11" ht="15" customHeight="1" x14ac:dyDescent="0.25">
      <c r="A67" s="456">
        <v>65</v>
      </c>
      <c r="B67" s="630" t="s">
        <v>356</v>
      </c>
      <c r="C67" s="630"/>
      <c r="D67" s="630"/>
      <c r="E67" s="630"/>
      <c r="F67" s="630"/>
      <c r="G67" s="369">
        <v>20</v>
      </c>
      <c r="H67" s="370">
        <v>18</v>
      </c>
      <c r="I67" s="294"/>
      <c r="J67" s="294"/>
      <c r="K67" s="466">
        <f t="shared" si="2"/>
        <v>360</v>
      </c>
    </row>
    <row r="68" spans="1:11" ht="15" customHeight="1" x14ac:dyDescent="0.25">
      <c r="A68" s="456">
        <v>66</v>
      </c>
      <c r="B68" s="630" t="s">
        <v>357</v>
      </c>
      <c r="C68" s="630"/>
      <c r="D68" s="630"/>
      <c r="E68" s="630"/>
      <c r="F68" s="630"/>
      <c r="G68" s="369">
        <v>4</v>
      </c>
      <c r="H68" s="370">
        <v>875</v>
      </c>
      <c r="I68" s="294"/>
      <c r="J68" s="294"/>
      <c r="K68" s="466">
        <f t="shared" si="2"/>
        <v>3500</v>
      </c>
    </row>
    <row r="69" spans="1:11" ht="15" customHeight="1" x14ac:dyDescent="0.25">
      <c r="A69" s="456">
        <v>67</v>
      </c>
      <c r="B69" s="630" t="s">
        <v>358</v>
      </c>
      <c r="C69" s="630"/>
      <c r="D69" s="630"/>
      <c r="E69" s="630"/>
      <c r="F69" s="630"/>
      <c r="G69" s="369">
        <v>4</v>
      </c>
      <c r="H69" s="370">
        <v>672</v>
      </c>
      <c r="I69" s="294"/>
      <c r="J69" s="294"/>
      <c r="K69" s="466">
        <f t="shared" si="2"/>
        <v>2688</v>
      </c>
    </row>
    <row r="70" spans="1:11" ht="15" customHeight="1" x14ac:dyDescent="0.25">
      <c r="A70" s="456">
        <v>68</v>
      </c>
      <c r="B70" s="630" t="s">
        <v>359</v>
      </c>
      <c r="C70" s="630"/>
      <c r="D70" s="630"/>
      <c r="E70" s="630"/>
      <c r="F70" s="630"/>
      <c r="G70" s="369">
        <v>8</v>
      </c>
      <c r="H70" s="370">
        <v>10</v>
      </c>
      <c r="I70" s="294"/>
      <c r="J70" s="294"/>
      <c r="K70" s="466">
        <f t="shared" si="2"/>
        <v>80</v>
      </c>
    </row>
    <row r="71" spans="1:11" ht="15" customHeight="1" x14ac:dyDescent="0.25">
      <c r="A71" s="456">
        <v>69</v>
      </c>
      <c r="B71" s="630" t="s">
        <v>360</v>
      </c>
      <c r="C71" s="630"/>
      <c r="D71" s="630"/>
      <c r="E71" s="630"/>
      <c r="F71" s="630"/>
      <c r="G71" s="369">
        <v>1</v>
      </c>
      <c r="H71" s="370">
        <v>6377</v>
      </c>
      <c r="I71" s="294"/>
      <c r="J71" s="294"/>
      <c r="K71" s="466">
        <f t="shared" si="2"/>
        <v>6377</v>
      </c>
    </row>
    <row r="72" spans="1:11" ht="15" customHeight="1" x14ac:dyDescent="0.25">
      <c r="A72" s="456">
        <v>70</v>
      </c>
      <c r="B72" s="630" t="s">
        <v>361</v>
      </c>
      <c r="C72" s="630"/>
      <c r="D72" s="630"/>
      <c r="E72" s="630"/>
      <c r="F72" s="630"/>
      <c r="G72" s="369">
        <v>1</v>
      </c>
      <c r="H72" s="370">
        <v>1037</v>
      </c>
      <c r="I72" s="294"/>
      <c r="J72" s="294"/>
      <c r="K72" s="466">
        <f t="shared" si="2"/>
        <v>1037</v>
      </c>
    </row>
    <row r="73" spans="1:11" ht="15" customHeight="1" x14ac:dyDescent="0.25">
      <c r="A73" s="456">
        <v>71</v>
      </c>
      <c r="B73" s="630" t="s">
        <v>362</v>
      </c>
      <c r="C73" s="630"/>
      <c r="D73" s="630"/>
      <c r="E73" s="630"/>
      <c r="F73" s="630"/>
      <c r="G73" s="369">
        <v>4</v>
      </c>
      <c r="H73" s="370">
        <v>570</v>
      </c>
      <c r="I73" s="294"/>
      <c r="J73" s="294"/>
      <c r="K73" s="466">
        <f t="shared" si="2"/>
        <v>2280</v>
      </c>
    </row>
    <row r="74" spans="1:11" ht="15" customHeight="1" x14ac:dyDescent="0.25">
      <c r="A74" s="456">
        <v>72</v>
      </c>
      <c r="B74" s="630" t="s">
        <v>363</v>
      </c>
      <c r="C74" s="630"/>
      <c r="D74" s="630"/>
      <c r="E74" s="630"/>
      <c r="F74" s="630"/>
      <c r="G74" s="369">
        <v>1</v>
      </c>
      <c r="H74" s="370">
        <v>29</v>
      </c>
      <c r="I74" s="294"/>
      <c r="J74" s="294"/>
      <c r="K74" s="466">
        <f t="shared" si="2"/>
        <v>29</v>
      </c>
    </row>
    <row r="75" spans="1:11" ht="15" customHeight="1" x14ac:dyDescent="0.25">
      <c r="A75" s="456">
        <v>73</v>
      </c>
      <c r="B75" s="630" t="s">
        <v>364</v>
      </c>
      <c r="C75" s="630"/>
      <c r="D75" s="630"/>
      <c r="E75" s="630"/>
      <c r="F75" s="630"/>
      <c r="G75" s="369">
        <v>2</v>
      </c>
      <c r="H75" s="370">
        <v>450</v>
      </c>
      <c r="I75" s="294"/>
      <c r="J75" s="294"/>
      <c r="K75" s="466">
        <f t="shared" si="2"/>
        <v>900</v>
      </c>
    </row>
    <row r="76" spans="1:11" ht="15" customHeight="1" x14ac:dyDescent="0.25">
      <c r="A76" s="456">
        <v>74</v>
      </c>
      <c r="B76" s="630" t="s">
        <v>365</v>
      </c>
      <c r="C76" s="630"/>
      <c r="D76" s="630"/>
      <c r="E76" s="630"/>
      <c r="F76" s="630"/>
      <c r="G76" s="369">
        <v>6</v>
      </c>
      <c r="H76" s="370">
        <v>450</v>
      </c>
      <c r="I76" s="294"/>
      <c r="J76" s="294"/>
      <c r="K76" s="466">
        <f t="shared" si="2"/>
        <v>2700</v>
      </c>
    </row>
    <row r="77" spans="1:11" ht="15" customHeight="1" x14ac:dyDescent="0.25">
      <c r="A77" s="456">
        <v>75</v>
      </c>
      <c r="B77" s="630" t="s">
        <v>366</v>
      </c>
      <c r="C77" s="630"/>
      <c r="D77" s="630"/>
      <c r="E77" s="630"/>
      <c r="F77" s="630"/>
      <c r="G77" s="369">
        <v>1</v>
      </c>
      <c r="H77" s="370">
        <v>1920</v>
      </c>
      <c r="I77" s="294"/>
      <c r="J77" s="294"/>
      <c r="K77" s="466">
        <f t="shared" si="2"/>
        <v>1920</v>
      </c>
    </row>
    <row r="78" spans="1:11" ht="15" customHeight="1" x14ac:dyDescent="0.25">
      <c r="A78" s="456">
        <v>76</v>
      </c>
      <c r="B78" s="630" t="s">
        <v>367</v>
      </c>
      <c r="C78" s="630"/>
      <c r="D78" s="630"/>
      <c r="E78" s="630"/>
      <c r="F78" s="630"/>
      <c r="G78" s="369">
        <v>8</v>
      </c>
      <c r="H78" s="370">
        <v>592</v>
      </c>
      <c r="I78" s="294"/>
      <c r="J78" s="294"/>
      <c r="K78" s="466">
        <f t="shared" si="2"/>
        <v>4736</v>
      </c>
    </row>
    <row r="79" spans="1:11" ht="15" customHeight="1" x14ac:dyDescent="0.25">
      <c r="A79" s="456">
        <v>77</v>
      </c>
      <c r="B79" s="630" t="s">
        <v>368</v>
      </c>
      <c r="C79" s="630"/>
      <c r="D79" s="630"/>
      <c r="E79" s="630"/>
      <c r="F79" s="630"/>
      <c r="G79" s="369">
        <v>2</v>
      </c>
      <c r="H79" s="370">
        <v>1025</v>
      </c>
      <c r="I79" s="294"/>
      <c r="J79" s="294"/>
      <c r="K79" s="466">
        <f t="shared" si="2"/>
        <v>2050</v>
      </c>
    </row>
    <row r="80" spans="1:11" ht="15" customHeight="1" x14ac:dyDescent="0.25">
      <c r="A80" s="456">
        <v>78</v>
      </c>
      <c r="B80" s="630" t="s">
        <v>369</v>
      </c>
      <c r="C80" s="630"/>
      <c r="D80" s="630"/>
      <c r="E80" s="630"/>
      <c r="F80" s="630"/>
      <c r="G80" s="369">
        <v>10</v>
      </c>
      <c r="H80" s="370">
        <v>15</v>
      </c>
      <c r="I80" s="294"/>
      <c r="J80" s="294"/>
      <c r="K80" s="466">
        <f t="shared" si="2"/>
        <v>150</v>
      </c>
    </row>
    <row r="81" spans="1:11" ht="15" customHeight="1" x14ac:dyDescent="0.25">
      <c r="A81" s="456">
        <v>79</v>
      </c>
      <c r="B81" s="630" t="s">
        <v>370</v>
      </c>
      <c r="C81" s="630"/>
      <c r="D81" s="630"/>
      <c r="E81" s="630"/>
      <c r="F81" s="630"/>
      <c r="G81" s="369">
        <v>3</v>
      </c>
      <c r="H81" s="370">
        <v>467</v>
      </c>
      <c r="I81" s="294"/>
      <c r="J81" s="294"/>
      <c r="K81" s="466">
        <f t="shared" si="2"/>
        <v>1401</v>
      </c>
    </row>
    <row r="82" spans="1:11" ht="15" customHeight="1" x14ac:dyDescent="0.25">
      <c r="A82" s="456">
        <v>80</v>
      </c>
      <c r="B82" s="630" t="s">
        <v>371</v>
      </c>
      <c r="C82" s="630"/>
      <c r="D82" s="630"/>
      <c r="E82" s="630"/>
      <c r="F82" s="630"/>
      <c r="G82" s="369">
        <v>3</v>
      </c>
      <c r="H82" s="370">
        <v>285</v>
      </c>
      <c r="I82" s="294"/>
      <c r="J82" s="294"/>
      <c r="K82" s="466">
        <f t="shared" si="2"/>
        <v>855</v>
      </c>
    </row>
    <row r="83" spans="1:11" ht="15" customHeight="1" x14ac:dyDescent="0.25">
      <c r="A83" s="456">
        <v>81</v>
      </c>
      <c r="B83" s="630" t="s">
        <v>372</v>
      </c>
      <c r="C83" s="630"/>
      <c r="D83" s="630"/>
      <c r="E83" s="630"/>
      <c r="F83" s="630"/>
      <c r="G83" s="369">
        <v>1</v>
      </c>
      <c r="H83" s="370">
        <v>1260</v>
      </c>
      <c r="I83" s="294"/>
      <c r="J83" s="294"/>
      <c r="K83" s="466">
        <f t="shared" si="2"/>
        <v>1260</v>
      </c>
    </row>
    <row r="84" spans="1:11" ht="15" customHeight="1" x14ac:dyDescent="0.25">
      <c r="A84" s="456">
        <v>82</v>
      </c>
      <c r="B84" s="630" t="s">
        <v>373</v>
      </c>
      <c r="C84" s="630"/>
      <c r="D84" s="630"/>
      <c r="E84" s="630"/>
      <c r="F84" s="630"/>
      <c r="G84" s="369">
        <v>4</v>
      </c>
      <c r="H84" s="370">
        <v>191</v>
      </c>
      <c r="I84" s="294"/>
      <c r="J84" s="294"/>
      <c r="K84" s="466">
        <f t="shared" si="2"/>
        <v>764</v>
      </c>
    </row>
    <row r="85" spans="1:11" ht="15" customHeight="1" x14ac:dyDescent="0.25">
      <c r="A85" s="456">
        <v>83</v>
      </c>
      <c r="B85" s="630" t="s">
        <v>374</v>
      </c>
      <c r="C85" s="630"/>
      <c r="D85" s="630"/>
      <c r="E85" s="630"/>
      <c r="F85" s="630"/>
      <c r="G85" s="369">
        <v>2</v>
      </c>
      <c r="H85" s="370">
        <v>2845</v>
      </c>
      <c r="I85" s="294"/>
      <c r="J85" s="294"/>
      <c r="K85" s="466">
        <f t="shared" si="2"/>
        <v>5690</v>
      </c>
    </row>
    <row r="86" spans="1:11" ht="15" customHeight="1" x14ac:dyDescent="0.25">
      <c r="A86" s="456">
        <v>84</v>
      </c>
      <c r="B86" s="630" t="s">
        <v>375</v>
      </c>
      <c r="C86" s="630"/>
      <c r="D86" s="630"/>
      <c r="E86" s="630"/>
      <c r="F86" s="630"/>
      <c r="G86" s="369">
        <v>6</v>
      </c>
      <c r="H86" s="370">
        <v>405</v>
      </c>
      <c r="I86" s="294"/>
      <c r="J86" s="294"/>
      <c r="K86" s="466">
        <f t="shared" si="2"/>
        <v>2430</v>
      </c>
    </row>
    <row r="87" spans="1:11" ht="15" customHeight="1" x14ac:dyDescent="0.25">
      <c r="A87" s="456">
        <v>85</v>
      </c>
      <c r="B87" s="630" t="s">
        <v>376</v>
      </c>
      <c r="C87" s="630"/>
      <c r="D87" s="630"/>
      <c r="E87" s="630"/>
      <c r="F87" s="630"/>
      <c r="G87" s="369">
        <v>8</v>
      </c>
      <c r="H87" s="370">
        <v>288</v>
      </c>
      <c r="I87" s="294"/>
      <c r="J87" s="294"/>
      <c r="K87" s="466">
        <f t="shared" si="2"/>
        <v>2304</v>
      </c>
    </row>
    <row r="88" spans="1:11" ht="15" customHeight="1" x14ac:dyDescent="0.25">
      <c r="A88" s="456">
        <v>86</v>
      </c>
      <c r="B88" s="630" t="s">
        <v>377</v>
      </c>
      <c r="C88" s="630"/>
      <c r="D88" s="630"/>
      <c r="E88" s="630"/>
      <c r="F88" s="630"/>
      <c r="G88" s="369">
        <v>2</v>
      </c>
      <c r="H88" s="370">
        <v>198</v>
      </c>
      <c r="I88" s="294"/>
      <c r="J88" s="294"/>
      <c r="K88" s="466">
        <f t="shared" si="2"/>
        <v>396</v>
      </c>
    </row>
    <row r="89" spans="1:11" ht="15" customHeight="1" x14ac:dyDescent="0.25">
      <c r="A89" s="456">
        <v>87</v>
      </c>
      <c r="B89" s="630" t="s">
        <v>378</v>
      </c>
      <c r="C89" s="630"/>
      <c r="D89" s="630"/>
      <c r="E89" s="630"/>
      <c r="F89" s="630"/>
      <c r="G89" s="369">
        <v>24</v>
      </c>
      <c r="H89" s="370">
        <v>192</v>
      </c>
      <c r="I89" s="294"/>
      <c r="J89" s="294"/>
      <c r="K89" s="466">
        <f t="shared" si="2"/>
        <v>4608</v>
      </c>
    </row>
    <row r="90" spans="1:11" ht="15" customHeight="1" x14ac:dyDescent="0.25">
      <c r="A90" s="456">
        <v>88</v>
      </c>
      <c r="B90" s="630" t="s">
        <v>379</v>
      </c>
      <c r="C90" s="630"/>
      <c r="D90" s="630"/>
      <c r="E90" s="630"/>
      <c r="F90" s="630"/>
      <c r="G90" s="369">
        <v>2</v>
      </c>
      <c r="H90" s="370">
        <v>187</v>
      </c>
      <c r="I90" s="294"/>
      <c r="J90" s="294"/>
      <c r="K90" s="466">
        <f t="shared" si="2"/>
        <v>374</v>
      </c>
    </row>
    <row r="91" spans="1:11" ht="15" customHeight="1" x14ac:dyDescent="0.25">
      <c r="A91" s="456">
        <v>89</v>
      </c>
      <c r="B91" s="630" t="s">
        <v>380</v>
      </c>
      <c r="C91" s="630"/>
      <c r="D91" s="630"/>
      <c r="E91" s="630"/>
      <c r="F91" s="630"/>
      <c r="G91" s="369">
        <v>8</v>
      </c>
      <c r="H91" s="370">
        <v>175</v>
      </c>
      <c r="I91" s="294"/>
      <c r="J91" s="294"/>
      <c r="K91" s="466">
        <f t="shared" si="2"/>
        <v>1400</v>
      </c>
    </row>
    <row r="92" spans="1:11" ht="15" customHeight="1" x14ac:dyDescent="0.25">
      <c r="A92" s="456">
        <v>90</v>
      </c>
      <c r="B92" s="630" t="s">
        <v>381</v>
      </c>
      <c r="C92" s="630"/>
      <c r="D92" s="630"/>
      <c r="E92" s="630"/>
      <c r="F92" s="630"/>
      <c r="G92" s="369">
        <v>4</v>
      </c>
      <c r="H92" s="370">
        <v>59</v>
      </c>
      <c r="I92" s="294"/>
      <c r="J92" s="294"/>
      <c r="K92" s="466">
        <f t="shared" si="2"/>
        <v>236</v>
      </c>
    </row>
    <row r="93" spans="1:11" ht="15" customHeight="1" x14ac:dyDescent="0.25">
      <c r="A93" s="456">
        <v>91</v>
      </c>
      <c r="B93" s="630" t="s">
        <v>382</v>
      </c>
      <c r="C93" s="630"/>
      <c r="D93" s="630"/>
      <c r="E93" s="630"/>
      <c r="F93" s="630"/>
      <c r="G93" s="369">
        <v>8</v>
      </c>
      <c r="H93" s="370">
        <v>185</v>
      </c>
      <c r="I93" s="294"/>
      <c r="J93" s="294"/>
      <c r="K93" s="466">
        <f t="shared" si="2"/>
        <v>1480</v>
      </c>
    </row>
    <row r="94" spans="1:11" ht="15" customHeight="1" x14ac:dyDescent="0.25">
      <c r="A94" s="456">
        <v>92</v>
      </c>
      <c r="B94" s="630" t="s">
        <v>383</v>
      </c>
      <c r="C94" s="630"/>
      <c r="D94" s="630"/>
      <c r="E94" s="630"/>
      <c r="F94" s="630"/>
      <c r="G94" s="369">
        <v>1</v>
      </c>
      <c r="H94" s="370">
        <v>175</v>
      </c>
      <c r="I94" s="294"/>
      <c r="J94" s="294"/>
      <c r="K94" s="466">
        <f t="shared" si="2"/>
        <v>175</v>
      </c>
    </row>
    <row r="95" spans="1:11" ht="15" customHeight="1" x14ac:dyDescent="0.25">
      <c r="A95" s="456">
        <v>93</v>
      </c>
      <c r="B95" s="630" t="s">
        <v>384</v>
      </c>
      <c r="C95" s="630"/>
      <c r="D95" s="630"/>
      <c r="E95" s="630"/>
      <c r="F95" s="630"/>
      <c r="G95" s="369">
        <v>1</v>
      </c>
      <c r="H95" s="370">
        <v>1750</v>
      </c>
      <c r="I95" s="294"/>
      <c r="J95" s="294"/>
      <c r="K95" s="466">
        <f t="shared" si="2"/>
        <v>1750</v>
      </c>
    </row>
    <row r="96" spans="1:11" ht="15" customHeight="1" x14ac:dyDescent="0.25">
      <c r="A96" s="456">
        <v>94</v>
      </c>
      <c r="B96" s="630" t="s">
        <v>385</v>
      </c>
      <c r="C96" s="630"/>
      <c r="D96" s="630"/>
      <c r="E96" s="630"/>
      <c r="F96" s="630"/>
      <c r="G96" s="369">
        <v>1</v>
      </c>
      <c r="H96" s="370">
        <v>4460</v>
      </c>
      <c r="I96" s="294"/>
      <c r="J96" s="294"/>
      <c r="K96" s="466">
        <f t="shared" si="2"/>
        <v>4460</v>
      </c>
    </row>
    <row r="97" spans="1:11" ht="15" customHeight="1" x14ac:dyDescent="0.25">
      <c r="A97" s="456">
        <v>95</v>
      </c>
      <c r="B97" s="630" t="s">
        <v>386</v>
      </c>
      <c r="C97" s="630"/>
      <c r="D97" s="630"/>
      <c r="E97" s="630"/>
      <c r="F97" s="630"/>
      <c r="G97" s="369">
        <v>1</v>
      </c>
      <c r="H97" s="370">
        <v>8725</v>
      </c>
      <c r="I97" s="294"/>
      <c r="J97" s="294"/>
      <c r="K97" s="466">
        <f t="shared" si="2"/>
        <v>8725</v>
      </c>
    </row>
    <row r="98" spans="1:11" ht="15" customHeight="1" x14ac:dyDescent="0.25">
      <c r="A98" s="456">
        <v>96</v>
      </c>
      <c r="B98" s="630" t="s">
        <v>387</v>
      </c>
      <c r="C98" s="630"/>
      <c r="D98" s="630"/>
      <c r="E98" s="630"/>
      <c r="F98" s="630"/>
      <c r="G98" s="369">
        <v>2</v>
      </c>
      <c r="H98" s="370">
        <v>315</v>
      </c>
      <c r="I98" s="294"/>
      <c r="J98" s="294"/>
      <c r="K98" s="466">
        <f t="shared" si="2"/>
        <v>630</v>
      </c>
    </row>
    <row r="99" spans="1:11" ht="15" customHeight="1" x14ac:dyDescent="0.25">
      <c r="A99" s="456">
        <v>97</v>
      </c>
      <c r="B99" s="630" t="s">
        <v>388</v>
      </c>
      <c r="C99" s="630"/>
      <c r="D99" s="630"/>
      <c r="E99" s="630"/>
      <c r="F99" s="630"/>
      <c r="G99" s="369">
        <v>2</v>
      </c>
      <c r="H99" s="370">
        <v>234</v>
      </c>
      <c r="I99" s="294"/>
      <c r="J99" s="294"/>
      <c r="K99" s="466">
        <f t="shared" si="2"/>
        <v>468</v>
      </c>
    </row>
    <row r="100" spans="1:11" ht="15" customHeight="1" x14ac:dyDescent="0.25">
      <c r="A100" s="456">
        <v>98</v>
      </c>
      <c r="B100" s="630" t="s">
        <v>389</v>
      </c>
      <c r="C100" s="630"/>
      <c r="D100" s="630"/>
      <c r="E100" s="630"/>
      <c r="F100" s="630"/>
      <c r="G100" s="369">
        <v>1</v>
      </c>
      <c r="H100" s="370">
        <v>96</v>
      </c>
      <c r="I100" s="294"/>
      <c r="J100" s="294"/>
      <c r="K100" s="466">
        <f t="shared" si="2"/>
        <v>96</v>
      </c>
    </row>
    <row r="101" spans="1:11" ht="15" customHeight="1" x14ac:dyDescent="0.25">
      <c r="A101" s="456">
        <v>99</v>
      </c>
      <c r="B101" s="630" t="s">
        <v>390</v>
      </c>
      <c r="C101" s="630"/>
      <c r="D101" s="630"/>
      <c r="E101" s="630"/>
      <c r="F101" s="630"/>
      <c r="G101" s="369">
        <v>1</v>
      </c>
      <c r="H101" s="370">
        <v>1220</v>
      </c>
      <c r="I101" s="294"/>
      <c r="J101" s="294"/>
      <c r="K101" s="466">
        <f t="shared" si="2"/>
        <v>1220</v>
      </c>
    </row>
    <row r="102" spans="1:11" ht="15" customHeight="1" x14ac:dyDescent="0.25">
      <c r="A102" s="456">
        <v>100</v>
      </c>
      <c r="B102" s="630" t="s">
        <v>391</v>
      </c>
      <c r="C102" s="630"/>
      <c r="D102" s="630"/>
      <c r="E102" s="630"/>
      <c r="F102" s="630"/>
      <c r="G102" s="369">
        <v>4</v>
      </c>
      <c r="H102" s="370">
        <v>330</v>
      </c>
      <c r="I102" s="294"/>
      <c r="J102" s="294"/>
      <c r="K102" s="466">
        <f t="shared" si="2"/>
        <v>1320</v>
      </c>
    </row>
    <row r="103" spans="1:11" ht="15" customHeight="1" x14ac:dyDescent="0.25">
      <c r="A103" s="456">
        <v>101</v>
      </c>
      <c r="B103" s="630" t="s">
        <v>392</v>
      </c>
      <c r="C103" s="630"/>
      <c r="D103" s="630"/>
      <c r="E103" s="630"/>
      <c r="F103" s="630"/>
      <c r="G103" s="369">
        <v>4</v>
      </c>
      <c r="H103" s="370">
        <v>350</v>
      </c>
      <c r="I103" s="294"/>
      <c r="J103" s="294"/>
      <c r="K103" s="466">
        <f t="shared" si="2"/>
        <v>1400</v>
      </c>
    </row>
    <row r="104" spans="1:11" ht="15" customHeight="1" x14ac:dyDescent="0.25">
      <c r="A104" s="456">
        <v>102</v>
      </c>
      <c r="B104" s="630" t="s">
        <v>393</v>
      </c>
      <c r="C104" s="630"/>
      <c r="D104" s="630"/>
      <c r="E104" s="630"/>
      <c r="F104" s="630"/>
      <c r="G104" s="369">
        <v>4</v>
      </c>
      <c r="H104" s="370">
        <v>545</v>
      </c>
      <c r="I104" s="294"/>
      <c r="J104" s="294"/>
      <c r="K104" s="466">
        <f t="shared" si="2"/>
        <v>2180</v>
      </c>
    </row>
    <row r="105" spans="1:11" ht="15" customHeight="1" x14ac:dyDescent="0.25">
      <c r="A105" s="456">
        <v>103</v>
      </c>
      <c r="B105" s="630" t="s">
        <v>394</v>
      </c>
      <c r="C105" s="630"/>
      <c r="D105" s="630"/>
      <c r="E105" s="630"/>
      <c r="F105" s="630"/>
      <c r="G105" s="369">
        <v>1</v>
      </c>
      <c r="H105" s="370">
        <v>285</v>
      </c>
      <c r="I105" s="294"/>
      <c r="J105" s="294"/>
      <c r="K105" s="466">
        <f t="shared" si="2"/>
        <v>285</v>
      </c>
    </row>
    <row r="106" spans="1:11" ht="15" customHeight="1" x14ac:dyDescent="0.25">
      <c r="A106" s="456">
        <v>104</v>
      </c>
      <c r="B106" s="630" t="s">
        <v>395</v>
      </c>
      <c r="C106" s="630"/>
      <c r="D106" s="630"/>
      <c r="E106" s="630"/>
      <c r="F106" s="630"/>
      <c r="G106" s="369">
        <v>3</v>
      </c>
      <c r="H106" s="370">
        <v>106</v>
      </c>
      <c r="I106" s="294"/>
      <c r="J106" s="294"/>
      <c r="K106" s="466">
        <f t="shared" si="2"/>
        <v>318</v>
      </c>
    </row>
    <row r="107" spans="1:11" ht="15" customHeight="1" x14ac:dyDescent="0.25">
      <c r="A107" s="456">
        <v>105</v>
      </c>
      <c r="B107" s="630" t="s">
        <v>396</v>
      </c>
      <c r="C107" s="630"/>
      <c r="D107" s="630"/>
      <c r="E107" s="630"/>
      <c r="F107" s="630"/>
      <c r="G107" s="369">
        <v>4</v>
      </c>
      <c r="H107" s="370">
        <v>185</v>
      </c>
      <c r="I107" s="294"/>
      <c r="J107" s="294"/>
      <c r="K107" s="466">
        <f t="shared" si="2"/>
        <v>740</v>
      </c>
    </row>
    <row r="108" spans="1:11" ht="15" customHeight="1" x14ac:dyDescent="0.25">
      <c r="A108" s="456">
        <v>106</v>
      </c>
      <c r="B108" s="630" t="s">
        <v>397</v>
      </c>
      <c r="C108" s="630"/>
      <c r="D108" s="630"/>
      <c r="E108" s="630"/>
      <c r="F108" s="630"/>
      <c r="G108" s="369">
        <v>4</v>
      </c>
      <c r="H108" s="370">
        <v>216</v>
      </c>
      <c r="I108" s="294"/>
      <c r="J108" s="294"/>
      <c r="K108" s="466">
        <f t="shared" si="2"/>
        <v>864</v>
      </c>
    </row>
    <row r="109" spans="1:11" x14ac:dyDescent="0.25">
      <c r="A109" s="456">
        <v>107</v>
      </c>
      <c r="B109" s="630" t="s">
        <v>398</v>
      </c>
      <c r="C109" s="630"/>
      <c r="D109" s="630"/>
      <c r="E109" s="630"/>
      <c r="F109" s="630"/>
      <c r="G109" s="369">
        <v>20</v>
      </c>
      <c r="H109" s="370">
        <v>21</v>
      </c>
      <c r="I109" s="294"/>
      <c r="J109" s="294"/>
      <c r="K109" s="466">
        <f t="shared" si="2"/>
        <v>420</v>
      </c>
    </row>
    <row r="110" spans="1:11" ht="15" customHeight="1" x14ac:dyDescent="0.25">
      <c r="A110" s="456">
        <v>108</v>
      </c>
      <c r="B110" s="630" t="s">
        <v>399</v>
      </c>
      <c r="C110" s="630"/>
      <c r="D110" s="630"/>
      <c r="E110" s="630"/>
      <c r="F110" s="630"/>
      <c r="G110" s="369">
        <v>2</v>
      </c>
      <c r="H110" s="370">
        <v>357</v>
      </c>
      <c r="I110" s="294"/>
      <c r="J110" s="294"/>
      <c r="K110" s="466">
        <f t="shared" si="2"/>
        <v>714</v>
      </c>
    </row>
    <row r="111" spans="1:11" ht="15" customHeight="1" x14ac:dyDescent="0.25">
      <c r="A111" s="456">
        <v>109</v>
      </c>
      <c r="B111" s="627" t="s">
        <v>400</v>
      </c>
      <c r="C111" s="628"/>
      <c r="D111" s="628"/>
      <c r="E111" s="628"/>
      <c r="F111" s="629"/>
      <c r="G111" s="369">
        <v>1</v>
      </c>
      <c r="H111" s="370">
        <v>280</v>
      </c>
      <c r="I111" s="465"/>
      <c r="J111" s="465"/>
      <c r="K111" s="466">
        <f t="shared" si="2"/>
        <v>280</v>
      </c>
    </row>
    <row r="112" spans="1:11" ht="15" customHeight="1" x14ac:dyDescent="0.25">
      <c r="A112" s="456">
        <v>110</v>
      </c>
      <c r="B112" s="627" t="s">
        <v>401</v>
      </c>
      <c r="C112" s="628"/>
      <c r="D112" s="628"/>
      <c r="E112" s="628"/>
      <c r="F112" s="629"/>
      <c r="G112" s="369">
        <v>1</v>
      </c>
      <c r="H112" s="370">
        <v>50</v>
      </c>
      <c r="I112" s="465"/>
      <c r="J112" s="465"/>
      <c r="K112" s="466">
        <f t="shared" si="2"/>
        <v>50</v>
      </c>
    </row>
    <row r="113" spans="1:11" ht="15" customHeight="1" x14ac:dyDescent="0.25">
      <c r="A113" s="456">
        <v>111</v>
      </c>
      <c r="B113" s="627" t="s">
        <v>402</v>
      </c>
      <c r="C113" s="628"/>
      <c r="D113" s="628"/>
      <c r="E113" s="628"/>
      <c r="F113" s="629"/>
      <c r="G113" s="369">
        <v>4</v>
      </c>
      <c r="H113" s="370">
        <v>70</v>
      </c>
      <c r="I113" s="465"/>
      <c r="J113" s="465"/>
      <c r="K113" s="466">
        <f t="shared" si="2"/>
        <v>280</v>
      </c>
    </row>
    <row r="114" spans="1:11" ht="15" customHeight="1" x14ac:dyDescent="0.25">
      <c r="A114" s="456">
        <v>112</v>
      </c>
      <c r="B114" s="627" t="s">
        <v>403</v>
      </c>
      <c r="C114" s="628"/>
      <c r="D114" s="628"/>
      <c r="E114" s="628"/>
      <c r="F114" s="629"/>
      <c r="G114" s="369">
        <v>1</v>
      </c>
      <c r="H114" s="370">
        <v>5</v>
      </c>
      <c r="I114" s="465"/>
      <c r="J114" s="465"/>
      <c r="K114" s="466">
        <f t="shared" si="2"/>
        <v>5</v>
      </c>
    </row>
    <row r="115" spans="1:11" x14ac:dyDescent="0.25">
      <c r="A115" s="456">
        <v>113</v>
      </c>
      <c r="B115" s="627" t="s">
        <v>404</v>
      </c>
      <c r="C115" s="628"/>
      <c r="D115" s="628"/>
      <c r="E115" s="628"/>
      <c r="F115" s="629"/>
      <c r="G115" s="369">
        <v>10</v>
      </c>
      <c r="H115" s="370">
        <v>7</v>
      </c>
      <c r="I115" s="620">
        <f>G115*H115</f>
        <v>70</v>
      </c>
      <c r="J115" s="621"/>
      <c r="K115" s="622"/>
    </row>
    <row r="116" spans="1:11" x14ac:dyDescent="0.25">
      <c r="A116" s="456">
        <v>114</v>
      </c>
      <c r="B116" s="630" t="s">
        <v>405</v>
      </c>
      <c r="C116" s="630"/>
      <c r="D116" s="630"/>
      <c r="E116" s="630"/>
      <c r="F116" s="630"/>
      <c r="G116" s="369">
        <v>200</v>
      </c>
      <c r="H116" s="370">
        <v>0.4</v>
      </c>
      <c r="I116" s="621">
        <f>G116*H116</f>
        <v>80</v>
      </c>
      <c r="J116" s="621"/>
      <c r="K116" s="622"/>
    </row>
    <row r="117" spans="1:11" ht="15.75" x14ac:dyDescent="0.25">
      <c r="A117" s="456">
        <v>115</v>
      </c>
      <c r="B117" s="619" t="s">
        <v>426</v>
      </c>
      <c r="C117" s="619"/>
      <c r="D117" s="619"/>
      <c r="E117" s="619"/>
      <c r="F117" s="619"/>
      <c r="G117" s="371">
        <v>5</v>
      </c>
      <c r="H117" s="371">
        <v>175</v>
      </c>
      <c r="I117" s="462"/>
      <c r="J117" s="462"/>
      <c r="K117" s="463">
        <f>G117*H117</f>
        <v>875</v>
      </c>
    </row>
    <row r="118" spans="1:11" ht="15.75" x14ac:dyDescent="0.25">
      <c r="A118" s="456">
        <v>116</v>
      </c>
      <c r="B118" s="619" t="s">
        <v>427</v>
      </c>
      <c r="C118" s="619"/>
      <c r="D118" s="619"/>
      <c r="E118" s="619"/>
      <c r="F118" s="619"/>
      <c r="G118" s="371">
        <v>5</v>
      </c>
      <c r="H118" s="371">
        <v>53</v>
      </c>
      <c r="I118" s="462"/>
      <c r="J118" s="462"/>
      <c r="K118" s="463">
        <f t="shared" ref="K118:K181" si="3">G118*H118</f>
        <v>265</v>
      </c>
    </row>
    <row r="119" spans="1:11" ht="15.75" x14ac:dyDescent="0.25">
      <c r="A119" s="456">
        <v>117</v>
      </c>
      <c r="B119" s="619" t="s">
        <v>428</v>
      </c>
      <c r="C119" s="619"/>
      <c r="D119" s="619"/>
      <c r="E119" s="619"/>
      <c r="F119" s="619"/>
      <c r="G119" s="371">
        <v>15</v>
      </c>
      <c r="H119" s="371">
        <v>60</v>
      </c>
      <c r="I119" s="462"/>
      <c r="J119" s="462"/>
      <c r="K119" s="463">
        <f t="shared" si="3"/>
        <v>900</v>
      </c>
    </row>
    <row r="120" spans="1:11" ht="15.75" x14ac:dyDescent="0.25">
      <c r="A120" s="456">
        <v>118</v>
      </c>
      <c r="B120" s="619" t="s">
        <v>429</v>
      </c>
      <c r="C120" s="619"/>
      <c r="D120" s="619"/>
      <c r="E120" s="619"/>
      <c r="F120" s="619"/>
      <c r="G120" s="371">
        <v>1</v>
      </c>
      <c r="H120" s="371">
        <v>132</v>
      </c>
      <c r="I120" s="462"/>
      <c r="J120" s="462"/>
      <c r="K120" s="463">
        <f t="shared" si="3"/>
        <v>132</v>
      </c>
    </row>
    <row r="121" spans="1:11" ht="15.75" x14ac:dyDescent="0.25">
      <c r="A121" s="456">
        <v>119</v>
      </c>
      <c r="B121" s="619" t="s">
        <v>430</v>
      </c>
      <c r="C121" s="619"/>
      <c r="D121" s="619"/>
      <c r="E121" s="619"/>
      <c r="F121" s="619"/>
      <c r="G121" s="371">
        <v>1</v>
      </c>
      <c r="H121" s="371">
        <v>255</v>
      </c>
      <c r="I121" s="462"/>
      <c r="J121" s="462"/>
      <c r="K121" s="463">
        <f t="shared" si="3"/>
        <v>255</v>
      </c>
    </row>
    <row r="122" spans="1:11" ht="15.75" x14ac:dyDescent="0.25">
      <c r="A122" s="456">
        <v>120</v>
      </c>
      <c r="B122" s="619" t="s">
        <v>431</v>
      </c>
      <c r="C122" s="619"/>
      <c r="D122" s="619"/>
      <c r="E122" s="619"/>
      <c r="F122" s="619"/>
      <c r="G122" s="371">
        <v>1</v>
      </c>
      <c r="H122" s="371">
        <v>55</v>
      </c>
      <c r="I122" s="462"/>
      <c r="J122" s="462"/>
      <c r="K122" s="463">
        <f t="shared" si="3"/>
        <v>55</v>
      </c>
    </row>
    <row r="123" spans="1:11" ht="15.75" x14ac:dyDescent="0.25">
      <c r="A123" s="456">
        <v>121</v>
      </c>
      <c r="B123" s="619" t="s">
        <v>432</v>
      </c>
      <c r="C123" s="619"/>
      <c r="D123" s="619"/>
      <c r="E123" s="619"/>
      <c r="F123" s="619"/>
      <c r="G123" s="371">
        <v>2</v>
      </c>
      <c r="H123" s="371">
        <v>220</v>
      </c>
      <c r="I123" s="462"/>
      <c r="J123" s="462"/>
      <c r="K123" s="463">
        <f t="shared" si="3"/>
        <v>440</v>
      </c>
    </row>
    <row r="124" spans="1:11" ht="15.75" x14ac:dyDescent="0.25">
      <c r="A124" s="456">
        <v>122</v>
      </c>
      <c r="B124" s="619" t="s">
        <v>433</v>
      </c>
      <c r="C124" s="619"/>
      <c r="D124" s="619"/>
      <c r="E124" s="619"/>
      <c r="F124" s="619"/>
      <c r="G124" s="371">
        <v>5</v>
      </c>
      <c r="H124" s="371">
        <v>115</v>
      </c>
      <c r="I124" s="462"/>
      <c r="J124" s="462"/>
      <c r="K124" s="463">
        <f t="shared" si="3"/>
        <v>575</v>
      </c>
    </row>
    <row r="125" spans="1:11" ht="15.75" x14ac:dyDescent="0.25">
      <c r="A125" s="456">
        <v>123</v>
      </c>
      <c r="B125" s="619" t="s">
        <v>434</v>
      </c>
      <c r="C125" s="619"/>
      <c r="D125" s="619"/>
      <c r="E125" s="619"/>
      <c r="F125" s="619"/>
      <c r="G125" s="371">
        <v>5</v>
      </c>
      <c r="H125" s="371">
        <v>70</v>
      </c>
      <c r="I125" s="462"/>
      <c r="J125" s="462"/>
      <c r="K125" s="463">
        <f t="shared" si="3"/>
        <v>350</v>
      </c>
    </row>
    <row r="126" spans="1:11" ht="15.75" x14ac:dyDescent="0.25">
      <c r="A126" s="456">
        <v>124</v>
      </c>
      <c r="B126" s="619" t="s">
        <v>435</v>
      </c>
      <c r="C126" s="619"/>
      <c r="D126" s="619"/>
      <c r="E126" s="619"/>
      <c r="F126" s="619"/>
      <c r="G126" s="371">
        <v>5</v>
      </c>
      <c r="H126" s="371">
        <v>170</v>
      </c>
      <c r="I126" s="462"/>
      <c r="J126" s="462"/>
      <c r="K126" s="463">
        <f t="shared" si="3"/>
        <v>850</v>
      </c>
    </row>
    <row r="127" spans="1:11" ht="15.75" x14ac:dyDescent="0.25">
      <c r="A127" s="456">
        <v>125</v>
      </c>
      <c r="B127" s="619" t="s">
        <v>436</v>
      </c>
      <c r="C127" s="619"/>
      <c r="D127" s="619"/>
      <c r="E127" s="619"/>
      <c r="F127" s="619"/>
      <c r="G127" s="371">
        <v>5</v>
      </c>
      <c r="H127" s="371">
        <v>95</v>
      </c>
      <c r="I127" s="462"/>
      <c r="J127" s="462"/>
      <c r="K127" s="463">
        <f t="shared" si="3"/>
        <v>475</v>
      </c>
    </row>
    <row r="128" spans="1:11" ht="15.75" x14ac:dyDescent="0.25">
      <c r="A128" s="456">
        <v>126</v>
      </c>
      <c r="B128" s="619" t="s">
        <v>437</v>
      </c>
      <c r="C128" s="619"/>
      <c r="D128" s="619"/>
      <c r="E128" s="619"/>
      <c r="F128" s="619"/>
      <c r="G128" s="371">
        <v>2</v>
      </c>
      <c r="H128" s="371">
        <v>30</v>
      </c>
      <c r="I128" s="462"/>
      <c r="J128" s="462"/>
      <c r="K128" s="463">
        <f t="shared" si="3"/>
        <v>60</v>
      </c>
    </row>
    <row r="129" spans="1:11" ht="15.75" x14ac:dyDescent="0.25">
      <c r="A129" s="456">
        <v>127</v>
      </c>
      <c r="B129" s="619" t="s">
        <v>277</v>
      </c>
      <c r="C129" s="619"/>
      <c r="D129" s="619"/>
      <c r="E129" s="619"/>
      <c r="F129" s="619"/>
      <c r="G129" s="371">
        <v>5</v>
      </c>
      <c r="H129" s="371">
        <v>60</v>
      </c>
      <c r="I129" s="462"/>
      <c r="J129" s="462"/>
      <c r="K129" s="463">
        <f t="shared" si="3"/>
        <v>300</v>
      </c>
    </row>
    <row r="130" spans="1:11" ht="15.75" x14ac:dyDescent="0.25">
      <c r="A130" s="456">
        <v>128</v>
      </c>
      <c r="B130" s="619" t="s">
        <v>438</v>
      </c>
      <c r="C130" s="619"/>
      <c r="D130" s="619"/>
      <c r="E130" s="619"/>
      <c r="F130" s="619"/>
      <c r="G130" s="371">
        <v>2</v>
      </c>
      <c r="H130" s="371">
        <v>90</v>
      </c>
      <c r="I130" s="462"/>
      <c r="J130" s="462"/>
      <c r="K130" s="463">
        <f t="shared" si="3"/>
        <v>180</v>
      </c>
    </row>
    <row r="131" spans="1:11" ht="15.75" x14ac:dyDescent="0.25">
      <c r="A131" s="456">
        <v>129</v>
      </c>
      <c r="B131" s="619" t="s">
        <v>429</v>
      </c>
      <c r="C131" s="619"/>
      <c r="D131" s="619"/>
      <c r="E131" s="619"/>
      <c r="F131" s="619"/>
      <c r="G131" s="371">
        <v>5</v>
      </c>
      <c r="H131" s="371">
        <v>45</v>
      </c>
      <c r="I131" s="462"/>
      <c r="J131" s="462"/>
      <c r="K131" s="463">
        <f t="shared" si="3"/>
        <v>225</v>
      </c>
    </row>
    <row r="132" spans="1:11" ht="15.75" x14ac:dyDescent="0.25">
      <c r="A132" s="456">
        <v>130</v>
      </c>
      <c r="B132" s="619" t="s">
        <v>439</v>
      </c>
      <c r="C132" s="619"/>
      <c r="D132" s="619"/>
      <c r="E132" s="619"/>
      <c r="F132" s="619"/>
      <c r="G132" s="371">
        <v>10</v>
      </c>
      <c r="H132" s="371">
        <v>90</v>
      </c>
      <c r="I132" s="462"/>
      <c r="J132" s="462"/>
      <c r="K132" s="463">
        <f t="shared" si="3"/>
        <v>900</v>
      </c>
    </row>
    <row r="133" spans="1:11" ht="15.75" x14ac:dyDescent="0.25">
      <c r="A133" s="456">
        <v>131</v>
      </c>
      <c r="B133" s="619" t="s">
        <v>440</v>
      </c>
      <c r="C133" s="619"/>
      <c r="D133" s="619"/>
      <c r="E133" s="619"/>
      <c r="F133" s="619"/>
      <c r="G133" s="371">
        <v>5</v>
      </c>
      <c r="H133" s="371">
        <v>100</v>
      </c>
      <c r="I133" s="462"/>
      <c r="J133" s="462"/>
      <c r="K133" s="463">
        <f t="shared" si="3"/>
        <v>500</v>
      </c>
    </row>
    <row r="134" spans="1:11" ht="15.75" x14ac:dyDescent="0.25">
      <c r="A134" s="456">
        <v>132</v>
      </c>
      <c r="B134" s="619" t="s">
        <v>441</v>
      </c>
      <c r="C134" s="619"/>
      <c r="D134" s="619"/>
      <c r="E134" s="619"/>
      <c r="F134" s="619"/>
      <c r="G134" s="371">
        <v>10</v>
      </c>
      <c r="H134" s="371">
        <v>50</v>
      </c>
      <c r="I134" s="462"/>
      <c r="J134" s="462"/>
      <c r="K134" s="463">
        <f t="shared" si="3"/>
        <v>500</v>
      </c>
    </row>
    <row r="135" spans="1:11" ht="15.75" x14ac:dyDescent="0.25">
      <c r="A135" s="456">
        <v>133</v>
      </c>
      <c r="B135" s="619" t="s">
        <v>442</v>
      </c>
      <c r="C135" s="619"/>
      <c r="D135" s="619"/>
      <c r="E135" s="619"/>
      <c r="F135" s="619"/>
      <c r="G135" s="371">
        <v>48</v>
      </c>
      <c r="H135" s="371">
        <v>18</v>
      </c>
      <c r="I135" s="462"/>
      <c r="J135" s="462"/>
      <c r="K135" s="463">
        <f t="shared" si="3"/>
        <v>864</v>
      </c>
    </row>
    <row r="136" spans="1:11" ht="15.75" x14ac:dyDescent="0.25">
      <c r="A136" s="456">
        <v>134</v>
      </c>
      <c r="B136" s="619" t="s">
        <v>443</v>
      </c>
      <c r="C136" s="619"/>
      <c r="D136" s="619"/>
      <c r="E136" s="619"/>
      <c r="F136" s="619"/>
      <c r="G136" s="371">
        <v>5</v>
      </c>
      <c r="H136" s="371">
        <v>30</v>
      </c>
      <c r="I136" s="462"/>
      <c r="J136" s="462"/>
      <c r="K136" s="463">
        <f t="shared" si="3"/>
        <v>150</v>
      </c>
    </row>
    <row r="137" spans="1:11" ht="15.75" x14ac:dyDescent="0.25">
      <c r="A137" s="456">
        <v>135</v>
      </c>
      <c r="B137" s="619" t="s">
        <v>444</v>
      </c>
      <c r="C137" s="619"/>
      <c r="D137" s="619"/>
      <c r="E137" s="619"/>
      <c r="F137" s="619"/>
      <c r="G137" s="371">
        <v>3</v>
      </c>
      <c r="H137" s="371">
        <v>5</v>
      </c>
      <c r="I137" s="462"/>
      <c r="J137" s="462"/>
      <c r="K137" s="463">
        <f t="shared" si="3"/>
        <v>15</v>
      </c>
    </row>
    <row r="138" spans="1:11" ht="15.75" x14ac:dyDescent="0.25">
      <c r="A138" s="456">
        <v>136</v>
      </c>
      <c r="B138" s="619" t="s">
        <v>445</v>
      </c>
      <c r="C138" s="619"/>
      <c r="D138" s="619"/>
      <c r="E138" s="619"/>
      <c r="F138" s="619"/>
      <c r="G138" s="371">
        <v>5</v>
      </c>
      <c r="H138" s="371">
        <v>260</v>
      </c>
      <c r="I138" s="462"/>
      <c r="J138" s="462"/>
      <c r="K138" s="463">
        <f t="shared" si="3"/>
        <v>1300</v>
      </c>
    </row>
    <row r="139" spans="1:11" ht="15.75" x14ac:dyDescent="0.25">
      <c r="A139" s="456">
        <v>137</v>
      </c>
      <c r="B139" s="619" t="s">
        <v>446</v>
      </c>
      <c r="C139" s="619"/>
      <c r="D139" s="619"/>
      <c r="E139" s="619"/>
      <c r="F139" s="619"/>
      <c r="G139" s="371">
        <v>3</v>
      </c>
      <c r="H139" s="371">
        <v>55</v>
      </c>
      <c r="I139" s="462"/>
      <c r="J139" s="462"/>
      <c r="K139" s="463">
        <f t="shared" si="3"/>
        <v>165</v>
      </c>
    </row>
    <row r="140" spans="1:11" ht="15.75" x14ac:dyDescent="0.25">
      <c r="A140" s="456">
        <v>138</v>
      </c>
      <c r="B140" s="619" t="s">
        <v>447</v>
      </c>
      <c r="C140" s="619"/>
      <c r="D140" s="619"/>
      <c r="E140" s="619"/>
      <c r="F140" s="619"/>
      <c r="G140" s="371">
        <v>2</v>
      </c>
      <c r="H140" s="371">
        <v>70</v>
      </c>
      <c r="I140" s="462"/>
      <c r="J140" s="462"/>
      <c r="K140" s="463">
        <f t="shared" si="3"/>
        <v>140</v>
      </c>
    </row>
    <row r="141" spans="1:11" ht="15.75" x14ac:dyDescent="0.25">
      <c r="A141" s="456">
        <v>139</v>
      </c>
      <c r="B141" s="619" t="s">
        <v>448</v>
      </c>
      <c r="C141" s="619"/>
      <c r="D141" s="619"/>
      <c r="E141" s="619"/>
      <c r="F141" s="619"/>
      <c r="G141" s="371">
        <v>3</v>
      </c>
      <c r="H141" s="371">
        <v>80</v>
      </c>
      <c r="I141" s="462"/>
      <c r="J141" s="462"/>
      <c r="K141" s="463">
        <f t="shared" si="3"/>
        <v>240</v>
      </c>
    </row>
    <row r="142" spans="1:11" ht="15.75" x14ac:dyDescent="0.25">
      <c r="A142" s="456">
        <v>140</v>
      </c>
      <c r="B142" s="619" t="s">
        <v>449</v>
      </c>
      <c r="C142" s="619"/>
      <c r="D142" s="619"/>
      <c r="E142" s="619"/>
      <c r="F142" s="619"/>
      <c r="G142" s="371">
        <v>10</v>
      </c>
      <c r="H142" s="371">
        <v>60</v>
      </c>
      <c r="I142" s="462"/>
      <c r="J142" s="462"/>
      <c r="K142" s="463">
        <f t="shared" si="3"/>
        <v>600</v>
      </c>
    </row>
    <row r="143" spans="1:11" ht="15.75" x14ac:dyDescent="0.25">
      <c r="A143" s="456">
        <v>141</v>
      </c>
      <c r="B143" s="619" t="s">
        <v>450</v>
      </c>
      <c r="C143" s="619"/>
      <c r="D143" s="619"/>
      <c r="E143" s="619"/>
      <c r="F143" s="619"/>
      <c r="G143" s="371">
        <v>10</v>
      </c>
      <c r="H143" s="371">
        <v>30</v>
      </c>
      <c r="I143" s="462"/>
      <c r="J143" s="462"/>
      <c r="K143" s="463">
        <f t="shared" si="3"/>
        <v>300</v>
      </c>
    </row>
    <row r="144" spans="1:11" ht="15.75" x14ac:dyDescent="0.25">
      <c r="A144" s="456">
        <v>142</v>
      </c>
      <c r="B144" s="619" t="s">
        <v>450</v>
      </c>
      <c r="C144" s="619"/>
      <c r="D144" s="619"/>
      <c r="E144" s="619"/>
      <c r="F144" s="619"/>
      <c r="G144" s="371">
        <v>5</v>
      </c>
      <c r="H144" s="371">
        <v>70</v>
      </c>
      <c r="I144" s="462"/>
      <c r="J144" s="462"/>
      <c r="K144" s="463">
        <f t="shared" si="3"/>
        <v>350</v>
      </c>
    </row>
    <row r="145" spans="1:11" ht="15.75" x14ac:dyDescent="0.25">
      <c r="A145" s="456">
        <v>143</v>
      </c>
      <c r="B145" s="619" t="s">
        <v>451</v>
      </c>
      <c r="C145" s="619"/>
      <c r="D145" s="619"/>
      <c r="E145" s="619"/>
      <c r="F145" s="619"/>
      <c r="G145" s="371">
        <v>1</v>
      </c>
      <c r="H145" s="371">
        <v>180</v>
      </c>
      <c r="I145" s="462"/>
      <c r="J145" s="462"/>
      <c r="K145" s="463">
        <f t="shared" si="3"/>
        <v>180</v>
      </c>
    </row>
    <row r="146" spans="1:11" ht="15.75" x14ac:dyDescent="0.25">
      <c r="A146" s="456">
        <v>144</v>
      </c>
      <c r="B146" s="619" t="s">
        <v>452</v>
      </c>
      <c r="C146" s="619"/>
      <c r="D146" s="619"/>
      <c r="E146" s="619"/>
      <c r="F146" s="619"/>
      <c r="G146" s="371">
        <v>1</v>
      </c>
      <c r="H146" s="371">
        <v>340</v>
      </c>
      <c r="I146" s="462"/>
      <c r="J146" s="462"/>
      <c r="K146" s="463">
        <f t="shared" si="3"/>
        <v>340</v>
      </c>
    </row>
    <row r="147" spans="1:11" ht="15.75" x14ac:dyDescent="0.25">
      <c r="A147" s="456">
        <v>145</v>
      </c>
      <c r="B147" s="619" t="s">
        <v>453</v>
      </c>
      <c r="C147" s="619"/>
      <c r="D147" s="619"/>
      <c r="E147" s="619"/>
      <c r="F147" s="619"/>
      <c r="G147" s="371">
        <v>3</v>
      </c>
      <c r="H147" s="371">
        <v>210</v>
      </c>
      <c r="I147" s="462"/>
      <c r="J147" s="462"/>
      <c r="K147" s="463">
        <f t="shared" si="3"/>
        <v>630</v>
      </c>
    </row>
    <row r="148" spans="1:11" ht="15.75" x14ac:dyDescent="0.25">
      <c r="A148" s="456">
        <v>146</v>
      </c>
      <c r="B148" s="619" t="s">
        <v>454</v>
      </c>
      <c r="C148" s="619"/>
      <c r="D148" s="619"/>
      <c r="E148" s="619"/>
      <c r="F148" s="619"/>
      <c r="G148" s="371">
        <v>20</v>
      </c>
      <c r="H148" s="371">
        <v>20</v>
      </c>
      <c r="I148" s="462"/>
      <c r="J148" s="462"/>
      <c r="K148" s="463">
        <f t="shared" si="3"/>
        <v>400</v>
      </c>
    </row>
    <row r="149" spans="1:11" ht="15.75" x14ac:dyDescent="0.25">
      <c r="A149" s="456">
        <v>147</v>
      </c>
      <c r="B149" s="619" t="s">
        <v>455</v>
      </c>
      <c r="C149" s="619"/>
      <c r="D149" s="619"/>
      <c r="E149" s="619"/>
      <c r="F149" s="619"/>
      <c r="G149" s="371">
        <v>10</v>
      </c>
      <c r="H149" s="371">
        <v>50</v>
      </c>
      <c r="I149" s="462"/>
      <c r="J149" s="462"/>
      <c r="K149" s="463">
        <f t="shared" si="3"/>
        <v>500</v>
      </c>
    </row>
    <row r="150" spans="1:11" ht="15.75" x14ac:dyDescent="0.25">
      <c r="A150" s="456">
        <v>148</v>
      </c>
      <c r="B150" s="619" t="s">
        <v>456</v>
      </c>
      <c r="C150" s="619"/>
      <c r="D150" s="619"/>
      <c r="E150" s="619"/>
      <c r="F150" s="619"/>
      <c r="G150" s="371">
        <v>3</v>
      </c>
      <c r="H150" s="371">
        <v>110</v>
      </c>
      <c r="I150" s="462"/>
      <c r="J150" s="462"/>
      <c r="K150" s="463">
        <f t="shared" si="3"/>
        <v>330</v>
      </c>
    </row>
    <row r="151" spans="1:11" ht="15.75" x14ac:dyDescent="0.25">
      <c r="A151" s="456">
        <v>149</v>
      </c>
      <c r="B151" s="619" t="s">
        <v>457</v>
      </c>
      <c r="C151" s="619"/>
      <c r="D151" s="619"/>
      <c r="E151" s="619"/>
      <c r="F151" s="619"/>
      <c r="G151" s="371">
        <v>1</v>
      </c>
      <c r="H151" s="371">
        <v>140</v>
      </c>
      <c r="I151" s="462"/>
      <c r="J151" s="462"/>
      <c r="K151" s="463">
        <f t="shared" si="3"/>
        <v>140</v>
      </c>
    </row>
    <row r="152" spans="1:11" ht="15.75" x14ac:dyDescent="0.25">
      <c r="A152" s="456">
        <v>150</v>
      </c>
      <c r="B152" s="619" t="s">
        <v>458</v>
      </c>
      <c r="C152" s="619"/>
      <c r="D152" s="619"/>
      <c r="E152" s="619"/>
      <c r="F152" s="619"/>
      <c r="G152" s="371">
        <v>10</v>
      </c>
      <c r="H152" s="371">
        <v>40</v>
      </c>
      <c r="I152" s="462"/>
      <c r="J152" s="462"/>
      <c r="K152" s="463">
        <f t="shared" si="3"/>
        <v>400</v>
      </c>
    </row>
    <row r="153" spans="1:11" ht="15.75" x14ac:dyDescent="0.25">
      <c r="A153" s="456">
        <v>151</v>
      </c>
      <c r="B153" s="619" t="s">
        <v>459</v>
      </c>
      <c r="C153" s="619"/>
      <c r="D153" s="619"/>
      <c r="E153" s="619"/>
      <c r="F153" s="619"/>
      <c r="G153" s="371">
        <v>2</v>
      </c>
      <c r="H153" s="371">
        <v>70</v>
      </c>
      <c r="I153" s="462"/>
      <c r="J153" s="462"/>
      <c r="K153" s="463">
        <f t="shared" si="3"/>
        <v>140</v>
      </c>
    </row>
    <row r="154" spans="1:11" ht="15.75" x14ac:dyDescent="0.25">
      <c r="A154" s="456">
        <v>152</v>
      </c>
      <c r="B154" s="619" t="s">
        <v>460</v>
      </c>
      <c r="C154" s="619"/>
      <c r="D154" s="619"/>
      <c r="E154" s="619"/>
      <c r="F154" s="619"/>
      <c r="G154" s="371">
        <v>5</v>
      </c>
      <c r="H154" s="371">
        <v>30</v>
      </c>
      <c r="I154" s="462"/>
      <c r="J154" s="462"/>
      <c r="K154" s="463">
        <f t="shared" si="3"/>
        <v>150</v>
      </c>
    </row>
    <row r="155" spans="1:11" ht="15.75" x14ac:dyDescent="0.25">
      <c r="A155" s="456">
        <v>153</v>
      </c>
      <c r="B155" s="619" t="s">
        <v>461</v>
      </c>
      <c r="C155" s="619"/>
      <c r="D155" s="619"/>
      <c r="E155" s="619"/>
      <c r="F155" s="619"/>
      <c r="G155" s="371">
        <v>4</v>
      </c>
      <c r="H155" s="371">
        <v>20</v>
      </c>
      <c r="I155" s="462"/>
      <c r="J155" s="462"/>
      <c r="K155" s="463">
        <f t="shared" si="3"/>
        <v>80</v>
      </c>
    </row>
    <row r="156" spans="1:11" ht="15.75" x14ac:dyDescent="0.25">
      <c r="A156" s="456">
        <v>154</v>
      </c>
      <c r="B156" s="619" t="s">
        <v>462</v>
      </c>
      <c r="C156" s="619"/>
      <c r="D156" s="619"/>
      <c r="E156" s="619"/>
      <c r="F156" s="619"/>
      <c r="G156" s="371">
        <v>1</v>
      </c>
      <c r="H156" s="371">
        <v>80</v>
      </c>
      <c r="I156" s="462"/>
      <c r="J156" s="462"/>
      <c r="K156" s="463">
        <f t="shared" si="3"/>
        <v>80</v>
      </c>
    </row>
    <row r="157" spans="1:11" ht="15.75" x14ac:dyDescent="0.25">
      <c r="A157" s="456">
        <v>155</v>
      </c>
      <c r="B157" s="619" t="s">
        <v>463</v>
      </c>
      <c r="C157" s="619"/>
      <c r="D157" s="619"/>
      <c r="E157" s="619"/>
      <c r="F157" s="619"/>
      <c r="G157" s="371">
        <v>8</v>
      </c>
      <c r="H157" s="371">
        <v>35</v>
      </c>
      <c r="I157" s="462"/>
      <c r="J157" s="462"/>
      <c r="K157" s="463">
        <f t="shared" si="3"/>
        <v>280</v>
      </c>
    </row>
    <row r="158" spans="1:11" ht="15.75" x14ac:dyDescent="0.25">
      <c r="A158" s="456">
        <v>156</v>
      </c>
      <c r="B158" s="619" t="s">
        <v>464</v>
      </c>
      <c r="C158" s="619"/>
      <c r="D158" s="619"/>
      <c r="E158" s="619"/>
      <c r="F158" s="619"/>
      <c r="G158" s="371">
        <v>1</v>
      </c>
      <c r="H158" s="371">
        <v>290</v>
      </c>
      <c r="I158" s="462"/>
      <c r="J158" s="462"/>
      <c r="K158" s="463">
        <f t="shared" si="3"/>
        <v>290</v>
      </c>
    </row>
    <row r="159" spans="1:11" ht="15.75" x14ac:dyDescent="0.25">
      <c r="A159" s="456">
        <v>157</v>
      </c>
      <c r="B159" s="619" t="s">
        <v>465</v>
      </c>
      <c r="C159" s="619"/>
      <c r="D159" s="619"/>
      <c r="E159" s="619"/>
      <c r="F159" s="619"/>
      <c r="G159" s="371">
        <v>4</v>
      </c>
      <c r="H159" s="371">
        <v>50</v>
      </c>
      <c r="I159" s="462"/>
      <c r="J159" s="462"/>
      <c r="K159" s="463">
        <f t="shared" si="3"/>
        <v>200</v>
      </c>
    </row>
    <row r="160" spans="1:11" ht="15.75" x14ac:dyDescent="0.25">
      <c r="A160" s="456">
        <v>158</v>
      </c>
      <c r="B160" s="619" t="s">
        <v>466</v>
      </c>
      <c r="C160" s="619"/>
      <c r="D160" s="619"/>
      <c r="E160" s="619"/>
      <c r="F160" s="619"/>
      <c r="G160" s="371">
        <v>2</v>
      </c>
      <c r="H160" s="371">
        <v>120</v>
      </c>
      <c r="I160" s="462"/>
      <c r="J160" s="462"/>
      <c r="K160" s="463">
        <f t="shared" si="3"/>
        <v>240</v>
      </c>
    </row>
    <row r="161" spans="1:11" ht="15.75" x14ac:dyDescent="0.25">
      <c r="A161" s="456">
        <v>159</v>
      </c>
      <c r="B161" s="619" t="s">
        <v>467</v>
      </c>
      <c r="C161" s="619"/>
      <c r="D161" s="619"/>
      <c r="E161" s="619"/>
      <c r="F161" s="619"/>
      <c r="G161" s="371">
        <v>9</v>
      </c>
      <c r="H161" s="371">
        <v>40</v>
      </c>
      <c r="I161" s="462"/>
      <c r="J161" s="462"/>
      <c r="K161" s="463">
        <f t="shared" si="3"/>
        <v>360</v>
      </c>
    </row>
    <row r="162" spans="1:11" ht="15.75" x14ac:dyDescent="0.25">
      <c r="A162" s="456">
        <v>160</v>
      </c>
      <c r="B162" s="619" t="s">
        <v>468</v>
      </c>
      <c r="C162" s="619"/>
      <c r="D162" s="619"/>
      <c r="E162" s="619"/>
      <c r="F162" s="619"/>
      <c r="G162" s="371">
        <v>5</v>
      </c>
      <c r="H162" s="371">
        <v>60</v>
      </c>
      <c r="I162" s="462"/>
      <c r="J162" s="462"/>
      <c r="K162" s="463">
        <f t="shared" si="3"/>
        <v>300</v>
      </c>
    </row>
    <row r="163" spans="1:11" ht="15.75" x14ac:dyDescent="0.25">
      <c r="A163" s="456">
        <v>161</v>
      </c>
      <c r="B163" s="619" t="s">
        <v>469</v>
      </c>
      <c r="C163" s="619"/>
      <c r="D163" s="619"/>
      <c r="E163" s="619"/>
      <c r="F163" s="619"/>
      <c r="G163" s="371">
        <v>1</v>
      </c>
      <c r="H163" s="371">
        <v>100</v>
      </c>
      <c r="I163" s="462"/>
      <c r="J163" s="462"/>
      <c r="K163" s="463">
        <f t="shared" si="3"/>
        <v>100</v>
      </c>
    </row>
    <row r="164" spans="1:11" ht="15.75" x14ac:dyDescent="0.25">
      <c r="A164" s="456">
        <v>162</v>
      </c>
      <c r="B164" s="619" t="s">
        <v>470</v>
      </c>
      <c r="C164" s="619"/>
      <c r="D164" s="619"/>
      <c r="E164" s="619"/>
      <c r="F164" s="619"/>
      <c r="G164" s="371">
        <v>1</v>
      </c>
      <c r="H164" s="371">
        <v>140</v>
      </c>
      <c r="I164" s="462"/>
      <c r="J164" s="462"/>
      <c r="K164" s="463">
        <f t="shared" si="3"/>
        <v>140</v>
      </c>
    </row>
    <row r="165" spans="1:11" ht="15.75" x14ac:dyDescent="0.25">
      <c r="A165" s="456">
        <v>163</v>
      </c>
      <c r="B165" s="619" t="s">
        <v>471</v>
      </c>
      <c r="C165" s="619"/>
      <c r="D165" s="619"/>
      <c r="E165" s="619"/>
      <c r="F165" s="619"/>
      <c r="G165" s="371">
        <v>10</v>
      </c>
      <c r="H165" s="371">
        <v>15</v>
      </c>
      <c r="I165" s="462"/>
      <c r="J165" s="462"/>
      <c r="K165" s="463">
        <f t="shared" si="3"/>
        <v>150</v>
      </c>
    </row>
    <row r="166" spans="1:11" ht="15.75" x14ac:dyDescent="0.25">
      <c r="A166" s="456">
        <v>164</v>
      </c>
      <c r="B166" s="619" t="s">
        <v>472</v>
      </c>
      <c r="C166" s="619"/>
      <c r="D166" s="619"/>
      <c r="E166" s="619"/>
      <c r="F166" s="619"/>
      <c r="G166" s="371">
        <v>10</v>
      </c>
      <c r="H166" s="371">
        <v>20</v>
      </c>
      <c r="I166" s="462"/>
      <c r="J166" s="462"/>
      <c r="K166" s="463">
        <f t="shared" si="3"/>
        <v>200</v>
      </c>
    </row>
    <row r="167" spans="1:11" ht="15.75" x14ac:dyDescent="0.25">
      <c r="A167" s="456">
        <v>165</v>
      </c>
      <c r="B167" s="619" t="s">
        <v>473</v>
      </c>
      <c r="C167" s="619"/>
      <c r="D167" s="619"/>
      <c r="E167" s="619"/>
      <c r="F167" s="619"/>
      <c r="G167" s="371">
        <v>2</v>
      </c>
      <c r="H167" s="371">
        <v>80</v>
      </c>
      <c r="I167" s="462"/>
      <c r="J167" s="462"/>
      <c r="K167" s="463">
        <f t="shared" si="3"/>
        <v>160</v>
      </c>
    </row>
    <row r="168" spans="1:11" ht="15.75" x14ac:dyDescent="0.25">
      <c r="A168" s="456">
        <v>166</v>
      </c>
      <c r="B168" s="619" t="s">
        <v>474</v>
      </c>
      <c r="C168" s="619"/>
      <c r="D168" s="619"/>
      <c r="E168" s="619"/>
      <c r="F168" s="619"/>
      <c r="G168" s="371">
        <v>2</v>
      </c>
      <c r="H168" s="371">
        <v>50</v>
      </c>
      <c r="I168" s="462"/>
      <c r="J168" s="462"/>
      <c r="K168" s="463">
        <f t="shared" si="3"/>
        <v>100</v>
      </c>
    </row>
    <row r="169" spans="1:11" ht="15.75" x14ac:dyDescent="0.25">
      <c r="A169" s="456">
        <v>167</v>
      </c>
      <c r="B169" s="619" t="s">
        <v>475</v>
      </c>
      <c r="C169" s="619"/>
      <c r="D169" s="619"/>
      <c r="E169" s="619"/>
      <c r="F169" s="619"/>
      <c r="G169" s="371">
        <v>5</v>
      </c>
      <c r="H169" s="371">
        <v>15</v>
      </c>
      <c r="I169" s="462"/>
      <c r="J169" s="462"/>
      <c r="K169" s="463">
        <f t="shared" si="3"/>
        <v>75</v>
      </c>
    </row>
    <row r="170" spans="1:11" ht="15.75" x14ac:dyDescent="0.25">
      <c r="A170" s="456">
        <v>168</v>
      </c>
      <c r="B170" s="619" t="s">
        <v>476</v>
      </c>
      <c r="C170" s="619"/>
      <c r="D170" s="619"/>
      <c r="E170" s="619"/>
      <c r="F170" s="619"/>
      <c r="G170" s="371">
        <v>12</v>
      </c>
      <c r="H170" s="371">
        <v>50</v>
      </c>
      <c r="I170" s="462"/>
      <c r="J170" s="462"/>
      <c r="K170" s="463">
        <f t="shared" si="3"/>
        <v>600</v>
      </c>
    </row>
    <row r="171" spans="1:11" ht="15.75" x14ac:dyDescent="0.25">
      <c r="A171" s="456">
        <v>169</v>
      </c>
      <c r="B171" s="619" t="s">
        <v>477</v>
      </c>
      <c r="C171" s="619"/>
      <c r="D171" s="619"/>
      <c r="E171" s="619"/>
      <c r="F171" s="619"/>
      <c r="G171" s="371">
        <v>1</v>
      </c>
      <c r="H171" s="371">
        <v>210</v>
      </c>
      <c r="I171" s="462"/>
      <c r="J171" s="462"/>
      <c r="K171" s="463">
        <f t="shared" si="3"/>
        <v>210</v>
      </c>
    </row>
    <row r="172" spans="1:11" ht="15.75" x14ac:dyDescent="0.25">
      <c r="A172" s="456">
        <v>170</v>
      </c>
      <c r="B172" s="619" t="s">
        <v>478</v>
      </c>
      <c r="C172" s="619"/>
      <c r="D172" s="619"/>
      <c r="E172" s="619"/>
      <c r="F172" s="619"/>
      <c r="G172" s="371">
        <v>1</v>
      </c>
      <c r="H172" s="371">
        <v>60</v>
      </c>
      <c r="I172" s="462"/>
      <c r="J172" s="462"/>
      <c r="K172" s="463">
        <f t="shared" si="3"/>
        <v>60</v>
      </c>
    </row>
    <row r="173" spans="1:11" ht="15.75" x14ac:dyDescent="0.25">
      <c r="A173" s="456">
        <v>171</v>
      </c>
      <c r="B173" s="619" t="s">
        <v>479</v>
      </c>
      <c r="C173" s="619"/>
      <c r="D173" s="619"/>
      <c r="E173" s="619"/>
      <c r="F173" s="619"/>
      <c r="G173" s="371">
        <v>4</v>
      </c>
      <c r="H173" s="371">
        <v>190</v>
      </c>
      <c r="I173" s="462"/>
      <c r="J173" s="462"/>
      <c r="K173" s="463">
        <f t="shared" si="3"/>
        <v>760</v>
      </c>
    </row>
    <row r="174" spans="1:11" ht="15.75" x14ac:dyDescent="0.25">
      <c r="A174" s="456">
        <v>172</v>
      </c>
      <c r="B174" s="619" t="s">
        <v>480</v>
      </c>
      <c r="C174" s="619"/>
      <c r="D174" s="619"/>
      <c r="E174" s="619"/>
      <c r="F174" s="619"/>
      <c r="G174" s="371">
        <v>1</v>
      </c>
      <c r="H174" s="371">
        <v>320</v>
      </c>
      <c r="I174" s="462"/>
      <c r="J174" s="462"/>
      <c r="K174" s="463">
        <f t="shared" si="3"/>
        <v>320</v>
      </c>
    </row>
    <row r="175" spans="1:11" ht="15.75" x14ac:dyDescent="0.25">
      <c r="A175" s="456">
        <v>173</v>
      </c>
      <c r="B175" s="619" t="s">
        <v>481</v>
      </c>
      <c r="C175" s="619"/>
      <c r="D175" s="619"/>
      <c r="E175" s="619"/>
      <c r="F175" s="619"/>
      <c r="G175" s="371">
        <v>10</v>
      </c>
      <c r="H175" s="371">
        <v>20</v>
      </c>
      <c r="I175" s="462"/>
      <c r="J175" s="462"/>
      <c r="K175" s="463">
        <f t="shared" si="3"/>
        <v>200</v>
      </c>
    </row>
    <row r="176" spans="1:11" ht="15.75" x14ac:dyDescent="0.25">
      <c r="A176" s="456">
        <v>174</v>
      </c>
      <c r="B176" s="619" t="s">
        <v>482</v>
      </c>
      <c r="C176" s="619"/>
      <c r="D176" s="619"/>
      <c r="E176" s="619"/>
      <c r="F176" s="619"/>
      <c r="G176" s="371">
        <v>1</v>
      </c>
      <c r="H176" s="371">
        <v>20</v>
      </c>
      <c r="I176" s="462"/>
      <c r="J176" s="462"/>
      <c r="K176" s="463">
        <f t="shared" si="3"/>
        <v>20</v>
      </c>
    </row>
    <row r="177" spans="1:11" ht="15.75" x14ac:dyDescent="0.25">
      <c r="A177" s="456">
        <v>175</v>
      </c>
      <c r="B177" s="619" t="s">
        <v>483</v>
      </c>
      <c r="C177" s="619"/>
      <c r="D177" s="619"/>
      <c r="E177" s="619"/>
      <c r="F177" s="619"/>
      <c r="G177" s="371">
        <v>5</v>
      </c>
      <c r="H177" s="371">
        <v>110</v>
      </c>
      <c r="I177" s="462"/>
      <c r="J177" s="462"/>
      <c r="K177" s="463">
        <f t="shared" si="3"/>
        <v>550</v>
      </c>
    </row>
    <row r="178" spans="1:11" ht="15.75" x14ac:dyDescent="0.25">
      <c r="A178" s="456">
        <v>176</v>
      </c>
      <c r="B178" s="619" t="s">
        <v>484</v>
      </c>
      <c r="C178" s="619"/>
      <c r="D178" s="619"/>
      <c r="E178" s="619"/>
      <c r="F178" s="619"/>
      <c r="G178" s="371">
        <v>3</v>
      </c>
      <c r="H178" s="371">
        <v>450</v>
      </c>
      <c r="I178" s="462"/>
      <c r="J178" s="462"/>
      <c r="K178" s="463">
        <f t="shared" si="3"/>
        <v>1350</v>
      </c>
    </row>
    <row r="179" spans="1:11" ht="15.75" x14ac:dyDescent="0.25">
      <c r="A179" s="456">
        <v>177</v>
      </c>
      <c r="B179" s="619" t="s">
        <v>485</v>
      </c>
      <c r="C179" s="619"/>
      <c r="D179" s="619"/>
      <c r="E179" s="619"/>
      <c r="F179" s="619"/>
      <c r="G179" s="371">
        <v>4</v>
      </c>
      <c r="H179" s="371">
        <v>100</v>
      </c>
      <c r="I179" s="462"/>
      <c r="J179" s="462"/>
      <c r="K179" s="463">
        <f t="shared" si="3"/>
        <v>400</v>
      </c>
    </row>
    <row r="180" spans="1:11" ht="15.75" x14ac:dyDescent="0.25">
      <c r="A180" s="456">
        <v>178</v>
      </c>
      <c r="B180" s="619" t="s">
        <v>486</v>
      </c>
      <c r="C180" s="619"/>
      <c r="D180" s="619"/>
      <c r="E180" s="619"/>
      <c r="F180" s="619"/>
      <c r="G180" s="371">
        <v>30</v>
      </c>
      <c r="H180" s="371">
        <v>310</v>
      </c>
      <c r="I180" s="462"/>
      <c r="J180" s="462"/>
      <c r="K180" s="463">
        <f t="shared" si="3"/>
        <v>9300</v>
      </c>
    </row>
    <row r="181" spans="1:11" ht="15.75" x14ac:dyDescent="0.25">
      <c r="A181" s="456">
        <v>179</v>
      </c>
      <c r="B181" s="619" t="s">
        <v>487</v>
      </c>
      <c r="C181" s="619"/>
      <c r="D181" s="619"/>
      <c r="E181" s="619"/>
      <c r="F181" s="619"/>
      <c r="G181" s="371">
        <v>1</v>
      </c>
      <c r="H181" s="372">
        <v>45</v>
      </c>
      <c r="I181" s="312"/>
      <c r="J181" s="312"/>
      <c r="K181" s="313">
        <f t="shared" si="3"/>
        <v>45</v>
      </c>
    </row>
    <row r="182" spans="1:11" ht="15.75" x14ac:dyDescent="0.25">
      <c r="A182" s="456">
        <v>180</v>
      </c>
      <c r="B182" s="619" t="s">
        <v>488</v>
      </c>
      <c r="C182" s="619"/>
      <c r="D182" s="619"/>
      <c r="E182" s="619"/>
      <c r="F182" s="619"/>
      <c r="G182" s="371">
        <v>1</v>
      </c>
      <c r="H182" s="372">
        <v>595</v>
      </c>
      <c r="I182" s="312"/>
      <c r="J182" s="312"/>
      <c r="K182" s="313">
        <f t="shared" ref="K182:K183" si="4">G182*H182</f>
        <v>595</v>
      </c>
    </row>
    <row r="183" spans="1:11" ht="15.75" x14ac:dyDescent="0.25">
      <c r="A183" s="456">
        <v>181</v>
      </c>
      <c r="B183" s="652" t="s">
        <v>489</v>
      </c>
      <c r="C183" s="652"/>
      <c r="D183" s="652"/>
      <c r="E183" s="652"/>
      <c r="F183" s="652"/>
      <c r="G183" s="372">
        <v>1</v>
      </c>
      <c r="H183" s="372">
        <v>175</v>
      </c>
      <c r="I183" s="312"/>
      <c r="J183" s="312"/>
      <c r="K183" s="313">
        <f t="shared" si="4"/>
        <v>175</v>
      </c>
    </row>
    <row r="184" spans="1:11" ht="15.75" x14ac:dyDescent="0.25">
      <c r="A184" s="456">
        <v>182</v>
      </c>
      <c r="B184" s="619" t="s">
        <v>490</v>
      </c>
      <c r="C184" s="619"/>
      <c r="D184" s="619"/>
      <c r="E184" s="619"/>
      <c r="F184" s="619"/>
      <c r="G184" s="371">
        <v>2</v>
      </c>
      <c r="H184" s="371">
        <v>80</v>
      </c>
      <c r="I184" s="620">
        <f>G184*H184</f>
        <v>160</v>
      </c>
      <c r="J184" s="621"/>
      <c r="K184" s="622"/>
    </row>
    <row r="185" spans="1:11" ht="15.75" x14ac:dyDescent="0.25">
      <c r="A185" s="456">
        <v>183</v>
      </c>
      <c r="B185" s="619" t="s">
        <v>491</v>
      </c>
      <c r="C185" s="619"/>
      <c r="D185" s="619"/>
      <c r="E185" s="619"/>
      <c r="F185" s="619"/>
      <c r="G185" s="371">
        <v>10</v>
      </c>
      <c r="H185" s="371">
        <v>15</v>
      </c>
      <c r="I185" s="624">
        <f>G185*H185</f>
        <v>150</v>
      </c>
      <c r="J185" s="625"/>
      <c r="K185" s="626"/>
    </row>
    <row r="186" spans="1:11" ht="15.75" x14ac:dyDescent="0.25">
      <c r="A186" s="456">
        <v>184</v>
      </c>
      <c r="B186" s="619" t="s">
        <v>510</v>
      </c>
      <c r="C186" s="619"/>
      <c r="D186" s="619"/>
      <c r="E186" s="619"/>
      <c r="F186" s="619"/>
      <c r="G186" s="371">
        <v>1</v>
      </c>
      <c r="H186" s="371">
        <v>25000</v>
      </c>
      <c r="I186" s="620">
        <f>G186*H186</f>
        <v>25000</v>
      </c>
      <c r="J186" s="621"/>
      <c r="K186" s="622"/>
    </row>
    <row r="187" spans="1:11" ht="15.75" x14ac:dyDescent="0.25">
      <c r="A187" s="456">
        <v>185</v>
      </c>
      <c r="B187" s="619" t="s">
        <v>511</v>
      </c>
      <c r="C187" s="619"/>
      <c r="D187" s="619"/>
      <c r="E187" s="619"/>
      <c r="F187" s="619"/>
      <c r="G187" s="371">
        <v>3</v>
      </c>
      <c r="H187" s="371">
        <v>70</v>
      </c>
      <c r="I187" s="620">
        <f t="shared" ref="I187:I193" si="5">G187*H187</f>
        <v>210</v>
      </c>
      <c r="J187" s="621"/>
      <c r="K187" s="622"/>
    </row>
    <row r="188" spans="1:11" ht="15.75" x14ac:dyDescent="0.25">
      <c r="A188" s="456">
        <v>186</v>
      </c>
      <c r="B188" s="619" t="s">
        <v>512</v>
      </c>
      <c r="C188" s="619"/>
      <c r="D188" s="619"/>
      <c r="E188" s="619"/>
      <c r="F188" s="619"/>
      <c r="G188" s="371">
        <v>2</v>
      </c>
      <c r="H188" s="371">
        <v>134</v>
      </c>
      <c r="I188" s="620">
        <f t="shared" si="5"/>
        <v>268</v>
      </c>
      <c r="J188" s="621"/>
      <c r="K188" s="622"/>
    </row>
    <row r="189" spans="1:11" ht="15.75" x14ac:dyDescent="0.25">
      <c r="A189" s="456">
        <v>187</v>
      </c>
      <c r="B189" s="619" t="s">
        <v>513</v>
      </c>
      <c r="C189" s="619"/>
      <c r="D189" s="619"/>
      <c r="E189" s="619"/>
      <c r="F189" s="619"/>
      <c r="G189" s="371">
        <v>2</v>
      </c>
      <c r="H189" s="371">
        <v>142</v>
      </c>
      <c r="I189" s="620">
        <f t="shared" si="5"/>
        <v>284</v>
      </c>
      <c r="J189" s="621"/>
      <c r="K189" s="622"/>
    </row>
    <row r="190" spans="1:11" ht="15.75" x14ac:dyDescent="0.25">
      <c r="A190" s="456">
        <v>188</v>
      </c>
      <c r="B190" s="619" t="s">
        <v>514</v>
      </c>
      <c r="C190" s="619"/>
      <c r="D190" s="619"/>
      <c r="E190" s="619"/>
      <c r="F190" s="619"/>
      <c r="G190" s="371">
        <v>5</v>
      </c>
      <c r="H190" s="371">
        <v>62</v>
      </c>
      <c r="I190" s="620">
        <f t="shared" si="5"/>
        <v>310</v>
      </c>
      <c r="J190" s="621"/>
      <c r="K190" s="622"/>
    </row>
    <row r="191" spans="1:11" ht="15.75" x14ac:dyDescent="0.25">
      <c r="A191" s="456">
        <v>189</v>
      </c>
      <c r="B191" s="619" t="s">
        <v>515</v>
      </c>
      <c r="C191" s="619"/>
      <c r="D191" s="619"/>
      <c r="E191" s="619"/>
      <c r="F191" s="619"/>
      <c r="G191" s="371">
        <v>2</v>
      </c>
      <c r="H191" s="371">
        <v>50</v>
      </c>
      <c r="I191" s="620">
        <f t="shared" si="5"/>
        <v>100</v>
      </c>
      <c r="J191" s="621"/>
      <c r="K191" s="622"/>
    </row>
    <row r="192" spans="1:11" ht="15.75" x14ac:dyDescent="0.25">
      <c r="A192" s="456">
        <v>190</v>
      </c>
      <c r="B192" s="619" t="s">
        <v>516</v>
      </c>
      <c r="C192" s="619"/>
      <c r="D192" s="619"/>
      <c r="E192" s="619"/>
      <c r="F192" s="619"/>
      <c r="G192" s="371">
        <v>20</v>
      </c>
      <c r="H192" s="371">
        <v>0.3</v>
      </c>
      <c r="I192" s="620">
        <f t="shared" si="5"/>
        <v>6</v>
      </c>
      <c r="J192" s="621"/>
      <c r="K192" s="621"/>
    </row>
    <row r="193" spans="1:11" ht="15.75" x14ac:dyDescent="0.25">
      <c r="A193" s="456">
        <v>191</v>
      </c>
      <c r="B193" s="619" t="s">
        <v>312</v>
      </c>
      <c r="C193" s="619"/>
      <c r="D193" s="619"/>
      <c r="E193" s="619"/>
      <c r="F193" s="619"/>
      <c r="G193" s="371">
        <v>2</v>
      </c>
      <c r="H193" s="371">
        <v>193</v>
      </c>
      <c r="I193" s="620">
        <f t="shared" si="5"/>
        <v>386</v>
      </c>
      <c r="J193" s="621"/>
      <c r="K193" s="621"/>
    </row>
    <row r="194" spans="1:11" ht="15.75" x14ac:dyDescent="0.25">
      <c r="A194" s="456">
        <v>192</v>
      </c>
      <c r="B194" s="619" t="s">
        <v>517</v>
      </c>
      <c r="C194" s="619"/>
      <c r="D194" s="619"/>
      <c r="E194" s="619"/>
      <c r="F194" s="619"/>
      <c r="G194" s="371">
        <v>22</v>
      </c>
      <c r="H194" s="371">
        <v>190</v>
      </c>
      <c r="I194" s="350"/>
      <c r="J194" s="350"/>
      <c r="K194" s="350">
        <f>G194*H194</f>
        <v>4180</v>
      </c>
    </row>
    <row r="195" spans="1:11" ht="15.75" x14ac:dyDescent="0.25">
      <c r="A195" s="456">
        <v>193</v>
      </c>
      <c r="B195" s="619" t="s">
        <v>518</v>
      </c>
      <c r="C195" s="619"/>
      <c r="D195" s="619"/>
      <c r="E195" s="619"/>
      <c r="F195" s="619"/>
      <c r="G195" s="371">
        <v>1</v>
      </c>
      <c r="H195" s="371">
        <v>8330</v>
      </c>
      <c r="I195" s="350"/>
      <c r="J195" s="350"/>
      <c r="K195" s="350">
        <f t="shared" ref="K195:K203" si="6">G195*H195</f>
        <v>8330</v>
      </c>
    </row>
    <row r="196" spans="1:11" ht="15.75" x14ac:dyDescent="0.25">
      <c r="A196" s="456">
        <v>194</v>
      </c>
      <c r="B196" s="619" t="s">
        <v>519</v>
      </c>
      <c r="C196" s="619"/>
      <c r="D196" s="619"/>
      <c r="E196" s="619"/>
      <c r="F196" s="619"/>
      <c r="G196" s="371">
        <v>3</v>
      </c>
      <c r="H196" s="371">
        <v>2570</v>
      </c>
      <c r="I196" s="350"/>
      <c r="J196" s="350"/>
      <c r="K196" s="350">
        <f t="shared" si="6"/>
        <v>7710</v>
      </c>
    </row>
    <row r="197" spans="1:11" ht="15.75" x14ac:dyDescent="0.25">
      <c r="A197" s="456">
        <v>195</v>
      </c>
      <c r="B197" s="619" t="s">
        <v>520</v>
      </c>
      <c r="C197" s="619"/>
      <c r="D197" s="619"/>
      <c r="E197" s="619"/>
      <c r="F197" s="619"/>
      <c r="G197" s="371">
        <v>2</v>
      </c>
      <c r="H197" s="371">
        <v>3700</v>
      </c>
      <c r="I197" s="350"/>
      <c r="J197" s="350"/>
      <c r="K197" s="350">
        <f t="shared" si="6"/>
        <v>7400</v>
      </c>
    </row>
    <row r="198" spans="1:11" ht="15.75" x14ac:dyDescent="0.25">
      <c r="A198" s="456">
        <v>196</v>
      </c>
      <c r="B198" s="619" t="s">
        <v>519</v>
      </c>
      <c r="C198" s="619"/>
      <c r="D198" s="619"/>
      <c r="E198" s="619"/>
      <c r="F198" s="619"/>
      <c r="G198" s="371">
        <v>1</v>
      </c>
      <c r="H198" s="371">
        <v>1990</v>
      </c>
      <c r="I198" s="350"/>
      <c r="J198" s="350"/>
      <c r="K198" s="350">
        <f t="shared" si="6"/>
        <v>1990</v>
      </c>
    </row>
    <row r="199" spans="1:11" ht="15.75" x14ac:dyDescent="0.25">
      <c r="A199" s="456">
        <v>197</v>
      </c>
      <c r="B199" s="619" t="s">
        <v>521</v>
      </c>
      <c r="C199" s="619"/>
      <c r="D199" s="619"/>
      <c r="E199" s="619"/>
      <c r="F199" s="619"/>
      <c r="G199" s="371">
        <v>2</v>
      </c>
      <c r="H199" s="371">
        <v>430</v>
      </c>
      <c r="I199" s="350"/>
      <c r="J199" s="350"/>
      <c r="K199" s="350">
        <f t="shared" si="6"/>
        <v>860</v>
      </c>
    </row>
    <row r="200" spans="1:11" ht="15.75" x14ac:dyDescent="0.25">
      <c r="A200" s="456">
        <v>198</v>
      </c>
      <c r="B200" s="619" t="s">
        <v>522</v>
      </c>
      <c r="C200" s="619"/>
      <c r="D200" s="619"/>
      <c r="E200" s="619"/>
      <c r="F200" s="619"/>
      <c r="G200" s="371">
        <v>2</v>
      </c>
      <c r="H200" s="371">
        <v>870</v>
      </c>
      <c r="I200" s="350"/>
      <c r="J200" s="350"/>
      <c r="K200" s="350">
        <f t="shared" si="6"/>
        <v>1740</v>
      </c>
    </row>
    <row r="201" spans="1:11" ht="15.75" x14ac:dyDescent="0.25">
      <c r="A201" s="456">
        <v>199</v>
      </c>
      <c r="B201" s="619" t="s">
        <v>523</v>
      </c>
      <c r="C201" s="619"/>
      <c r="D201" s="619"/>
      <c r="E201" s="619"/>
      <c r="F201" s="619"/>
      <c r="G201" s="371">
        <v>2</v>
      </c>
      <c r="H201" s="371">
        <v>580</v>
      </c>
      <c r="I201" s="350"/>
      <c r="J201" s="350"/>
      <c r="K201" s="350">
        <f t="shared" si="6"/>
        <v>1160</v>
      </c>
    </row>
    <row r="202" spans="1:11" ht="15.75" x14ac:dyDescent="0.25">
      <c r="A202" s="456">
        <v>200</v>
      </c>
      <c r="B202" s="619" t="s">
        <v>524</v>
      </c>
      <c r="C202" s="619"/>
      <c r="D202" s="619"/>
      <c r="E202" s="619"/>
      <c r="F202" s="619"/>
      <c r="G202" s="371">
        <v>2</v>
      </c>
      <c r="H202" s="371">
        <v>760</v>
      </c>
      <c r="I202" s="350"/>
      <c r="J202" s="350"/>
      <c r="K202" s="350">
        <f t="shared" si="6"/>
        <v>1520</v>
      </c>
    </row>
    <row r="203" spans="1:11" ht="15.75" x14ac:dyDescent="0.25">
      <c r="A203" s="456">
        <v>201</v>
      </c>
      <c r="B203" s="619" t="s">
        <v>525</v>
      </c>
      <c r="C203" s="619"/>
      <c r="D203" s="619"/>
      <c r="E203" s="619"/>
      <c r="F203" s="619"/>
      <c r="G203" s="371">
        <v>2</v>
      </c>
      <c r="H203" s="371">
        <v>810</v>
      </c>
      <c r="I203" s="350"/>
      <c r="J203" s="350"/>
      <c r="K203" s="350">
        <f t="shared" si="6"/>
        <v>1620</v>
      </c>
    </row>
    <row r="204" spans="1:11" ht="15.75" x14ac:dyDescent="0.25">
      <c r="A204" s="456">
        <v>202</v>
      </c>
      <c r="B204" s="619" t="s">
        <v>543</v>
      </c>
      <c r="C204" s="619"/>
      <c r="D204" s="619"/>
      <c r="E204" s="619"/>
      <c r="F204" s="619"/>
      <c r="G204" s="371">
        <v>5</v>
      </c>
      <c r="H204" s="371">
        <v>480</v>
      </c>
      <c r="I204" s="620">
        <f t="shared" ref="I204:I226" si="7">G204*H204</f>
        <v>2400</v>
      </c>
      <c r="J204" s="621"/>
      <c r="K204" s="622"/>
    </row>
    <row r="205" spans="1:11" ht="15.75" x14ac:dyDescent="0.25">
      <c r="A205" s="456">
        <v>203</v>
      </c>
      <c r="B205" s="619" t="s">
        <v>544</v>
      </c>
      <c r="C205" s="619"/>
      <c r="D205" s="619"/>
      <c r="E205" s="619"/>
      <c r="F205" s="619"/>
      <c r="G205" s="371">
        <v>4</v>
      </c>
      <c r="H205" s="371">
        <v>1280</v>
      </c>
      <c r="I205" s="620">
        <f t="shared" si="7"/>
        <v>5120</v>
      </c>
      <c r="J205" s="621"/>
      <c r="K205" s="622"/>
    </row>
    <row r="206" spans="1:11" ht="15.75" x14ac:dyDescent="0.25">
      <c r="A206" s="456">
        <v>204</v>
      </c>
      <c r="B206" s="619" t="s">
        <v>517</v>
      </c>
      <c r="C206" s="619"/>
      <c r="D206" s="619"/>
      <c r="E206" s="619"/>
      <c r="F206" s="619"/>
      <c r="G206" s="371">
        <v>10</v>
      </c>
      <c r="H206" s="371">
        <v>190</v>
      </c>
      <c r="I206" s="620">
        <f t="shared" si="7"/>
        <v>1900</v>
      </c>
      <c r="J206" s="621"/>
      <c r="K206" s="622"/>
    </row>
    <row r="207" spans="1:11" ht="15.75" x14ac:dyDescent="0.25">
      <c r="A207" s="456">
        <v>205</v>
      </c>
      <c r="B207" s="619" t="s">
        <v>545</v>
      </c>
      <c r="C207" s="619"/>
      <c r="D207" s="619"/>
      <c r="E207" s="619"/>
      <c r="F207" s="619"/>
      <c r="G207" s="371">
        <v>5</v>
      </c>
      <c r="H207" s="371">
        <v>680</v>
      </c>
      <c r="I207" s="620">
        <f t="shared" si="7"/>
        <v>3400</v>
      </c>
      <c r="J207" s="621"/>
      <c r="K207" s="622"/>
    </row>
    <row r="208" spans="1:11" ht="15.75" x14ac:dyDescent="0.25">
      <c r="A208" s="456">
        <v>206</v>
      </c>
      <c r="B208" s="619" t="s">
        <v>546</v>
      </c>
      <c r="C208" s="619"/>
      <c r="D208" s="619"/>
      <c r="E208" s="619"/>
      <c r="F208" s="619"/>
      <c r="G208" s="371">
        <v>4</v>
      </c>
      <c r="H208" s="371">
        <v>900</v>
      </c>
      <c r="I208" s="620">
        <f t="shared" si="7"/>
        <v>3600</v>
      </c>
      <c r="J208" s="621"/>
      <c r="K208" s="622"/>
    </row>
    <row r="209" spans="1:11" ht="15.75" x14ac:dyDescent="0.25">
      <c r="A209" s="456">
        <v>207</v>
      </c>
      <c r="B209" s="619" t="s">
        <v>349</v>
      </c>
      <c r="C209" s="619"/>
      <c r="D209" s="619"/>
      <c r="E209" s="619"/>
      <c r="F209" s="619"/>
      <c r="G209" s="371">
        <v>2</v>
      </c>
      <c r="H209" s="371">
        <v>4800</v>
      </c>
      <c r="I209" s="620">
        <f t="shared" si="7"/>
        <v>9600</v>
      </c>
      <c r="J209" s="621"/>
      <c r="K209" s="622"/>
    </row>
    <row r="210" spans="1:11" ht="15.75" x14ac:dyDescent="0.25">
      <c r="A210" s="456">
        <v>208</v>
      </c>
      <c r="B210" s="615" t="s">
        <v>547</v>
      </c>
      <c r="C210" s="616"/>
      <c r="D210" s="616"/>
      <c r="E210" s="616"/>
      <c r="F210" s="617"/>
      <c r="G210" s="371">
        <v>30</v>
      </c>
      <c r="H210" s="371">
        <v>60</v>
      </c>
      <c r="I210" s="620">
        <f t="shared" si="7"/>
        <v>1800</v>
      </c>
      <c r="J210" s="621"/>
      <c r="K210" s="622"/>
    </row>
    <row r="211" spans="1:11" ht="15.75" x14ac:dyDescent="0.25">
      <c r="A211" s="456">
        <v>209</v>
      </c>
      <c r="B211" s="464" t="s">
        <v>548</v>
      </c>
      <c r="C211" s="366"/>
      <c r="D211" s="367"/>
      <c r="E211" s="367"/>
      <c r="F211" s="368"/>
      <c r="G211" s="371">
        <v>1</v>
      </c>
      <c r="H211" s="371">
        <v>1200</v>
      </c>
      <c r="I211" s="620">
        <f t="shared" si="7"/>
        <v>1200</v>
      </c>
      <c r="J211" s="621"/>
      <c r="K211" s="622"/>
    </row>
    <row r="212" spans="1:11" ht="15.75" x14ac:dyDescent="0.25">
      <c r="A212" s="456">
        <v>210</v>
      </c>
      <c r="B212" s="619" t="s">
        <v>588</v>
      </c>
      <c r="C212" s="619"/>
      <c r="D212" s="619"/>
      <c r="E212" s="619"/>
      <c r="F212" s="619"/>
      <c r="G212" s="371">
        <v>200</v>
      </c>
      <c r="H212" s="371">
        <v>3</v>
      </c>
      <c r="I212" s="620">
        <f t="shared" si="7"/>
        <v>600</v>
      </c>
      <c r="J212" s="621"/>
      <c r="K212" s="622"/>
    </row>
    <row r="213" spans="1:11" ht="15.75" x14ac:dyDescent="0.25">
      <c r="A213" s="456">
        <v>211</v>
      </c>
      <c r="B213" s="619" t="s">
        <v>588</v>
      </c>
      <c r="C213" s="619"/>
      <c r="D213" s="619"/>
      <c r="E213" s="619"/>
      <c r="F213" s="619"/>
      <c r="G213" s="371">
        <v>250</v>
      </c>
      <c r="H213" s="371">
        <v>3</v>
      </c>
      <c r="I213" s="620">
        <f t="shared" si="7"/>
        <v>750</v>
      </c>
      <c r="J213" s="621"/>
      <c r="K213" s="622"/>
    </row>
    <row r="214" spans="1:11" ht="15.75" x14ac:dyDescent="0.25">
      <c r="A214" s="456">
        <v>212</v>
      </c>
      <c r="B214" s="619" t="s">
        <v>589</v>
      </c>
      <c r="C214" s="619"/>
      <c r="D214" s="619"/>
      <c r="E214" s="619"/>
      <c r="F214" s="619"/>
      <c r="G214" s="371">
        <v>1</v>
      </c>
      <c r="H214" s="371">
        <v>110</v>
      </c>
      <c r="I214" s="620">
        <f t="shared" si="7"/>
        <v>110</v>
      </c>
      <c r="J214" s="621"/>
      <c r="K214" s="622"/>
    </row>
    <row r="215" spans="1:11" ht="15.75" x14ac:dyDescent="0.25">
      <c r="A215" s="456">
        <v>213</v>
      </c>
      <c r="B215" s="619" t="s">
        <v>590</v>
      </c>
      <c r="C215" s="619"/>
      <c r="D215" s="619"/>
      <c r="E215" s="619"/>
      <c r="F215" s="619"/>
      <c r="G215" s="371">
        <v>2</v>
      </c>
      <c r="H215" s="371">
        <v>100</v>
      </c>
      <c r="I215" s="620">
        <f t="shared" si="7"/>
        <v>200</v>
      </c>
      <c r="J215" s="621"/>
      <c r="K215" s="622"/>
    </row>
    <row r="216" spans="1:11" ht="15.75" x14ac:dyDescent="0.25">
      <c r="A216" s="456">
        <v>214</v>
      </c>
      <c r="B216" s="619" t="s">
        <v>590</v>
      </c>
      <c r="C216" s="619"/>
      <c r="D216" s="619"/>
      <c r="E216" s="619"/>
      <c r="F216" s="619"/>
      <c r="G216" s="371">
        <v>2</v>
      </c>
      <c r="H216" s="371">
        <v>114</v>
      </c>
      <c r="I216" s="620">
        <f t="shared" si="7"/>
        <v>228</v>
      </c>
      <c r="J216" s="621"/>
      <c r="K216" s="622"/>
    </row>
    <row r="217" spans="1:11" ht="15.75" x14ac:dyDescent="0.25">
      <c r="A217" s="456">
        <v>215</v>
      </c>
      <c r="B217" s="619" t="s">
        <v>591</v>
      </c>
      <c r="C217" s="619"/>
      <c r="D217" s="619"/>
      <c r="E217" s="619"/>
      <c r="F217" s="619"/>
      <c r="G217" s="371">
        <v>1</v>
      </c>
      <c r="H217" s="371">
        <v>1050</v>
      </c>
      <c r="I217" s="620">
        <f t="shared" si="7"/>
        <v>1050</v>
      </c>
      <c r="J217" s="621"/>
      <c r="K217" s="622"/>
    </row>
    <row r="218" spans="1:11" ht="15.75" x14ac:dyDescent="0.25">
      <c r="A218" s="456">
        <v>216</v>
      </c>
      <c r="B218" s="619" t="s">
        <v>592</v>
      </c>
      <c r="C218" s="619"/>
      <c r="D218" s="619"/>
      <c r="E218" s="619"/>
      <c r="F218" s="619"/>
      <c r="G218" s="371">
        <v>10</v>
      </c>
      <c r="H218" s="371">
        <v>17</v>
      </c>
      <c r="I218" s="620">
        <f t="shared" si="7"/>
        <v>170</v>
      </c>
      <c r="J218" s="621"/>
      <c r="K218" s="622"/>
    </row>
    <row r="219" spans="1:11" ht="15.75" x14ac:dyDescent="0.25">
      <c r="A219" s="456">
        <v>217</v>
      </c>
      <c r="B219" s="619" t="s">
        <v>593</v>
      </c>
      <c r="C219" s="619"/>
      <c r="D219" s="619"/>
      <c r="E219" s="619"/>
      <c r="F219" s="619"/>
      <c r="G219" s="371">
        <v>440</v>
      </c>
      <c r="H219" s="371">
        <v>1</v>
      </c>
      <c r="I219" s="620">
        <f t="shared" si="7"/>
        <v>440</v>
      </c>
      <c r="J219" s="621"/>
      <c r="K219" s="622"/>
    </row>
    <row r="220" spans="1:11" ht="15.75" x14ac:dyDescent="0.25">
      <c r="A220" s="456">
        <v>218</v>
      </c>
      <c r="B220" s="619" t="s">
        <v>590</v>
      </c>
      <c r="C220" s="619"/>
      <c r="D220" s="619"/>
      <c r="E220" s="619"/>
      <c r="F220" s="619"/>
      <c r="G220" s="371">
        <v>2</v>
      </c>
      <c r="H220" s="371">
        <v>100</v>
      </c>
      <c r="I220" s="620">
        <f t="shared" si="7"/>
        <v>200</v>
      </c>
      <c r="J220" s="621"/>
      <c r="K220" s="622"/>
    </row>
    <row r="221" spans="1:11" ht="15.75" x14ac:dyDescent="0.25">
      <c r="A221" s="456">
        <v>219</v>
      </c>
      <c r="B221" s="619" t="s">
        <v>594</v>
      </c>
      <c r="C221" s="619"/>
      <c r="D221" s="619"/>
      <c r="E221" s="619"/>
      <c r="F221" s="619"/>
      <c r="G221" s="371">
        <v>1</v>
      </c>
      <c r="H221" s="371">
        <v>194</v>
      </c>
      <c r="I221" s="620">
        <f t="shared" si="7"/>
        <v>194</v>
      </c>
      <c r="J221" s="621"/>
      <c r="K221" s="622"/>
    </row>
    <row r="222" spans="1:11" ht="15.75" x14ac:dyDescent="0.25">
      <c r="A222" s="456">
        <v>220</v>
      </c>
      <c r="B222" s="619" t="s">
        <v>594</v>
      </c>
      <c r="C222" s="619"/>
      <c r="D222" s="619"/>
      <c r="E222" s="619"/>
      <c r="F222" s="619"/>
      <c r="G222" s="371">
        <v>1</v>
      </c>
      <c r="H222" s="371">
        <v>41</v>
      </c>
      <c r="I222" s="620">
        <f t="shared" si="7"/>
        <v>41</v>
      </c>
      <c r="J222" s="621"/>
      <c r="K222" s="622"/>
    </row>
    <row r="223" spans="1:11" ht="15.75" x14ac:dyDescent="0.25">
      <c r="A223" s="456">
        <v>221</v>
      </c>
      <c r="B223" s="619" t="s">
        <v>590</v>
      </c>
      <c r="C223" s="619"/>
      <c r="D223" s="619"/>
      <c r="E223" s="619"/>
      <c r="F223" s="619"/>
      <c r="G223" s="371">
        <v>20</v>
      </c>
      <c r="H223" s="371">
        <v>194.48</v>
      </c>
      <c r="I223" s="620">
        <f t="shared" si="7"/>
        <v>3889.6</v>
      </c>
      <c r="J223" s="621"/>
      <c r="K223" s="622"/>
    </row>
    <row r="224" spans="1:11" ht="15.75" x14ac:dyDescent="0.25">
      <c r="A224" s="456">
        <v>222</v>
      </c>
      <c r="B224" s="619" t="s">
        <v>595</v>
      </c>
      <c r="C224" s="619"/>
      <c r="D224" s="619"/>
      <c r="E224" s="619"/>
      <c r="F224" s="619"/>
      <c r="G224" s="371">
        <v>1</v>
      </c>
      <c r="H224" s="371">
        <v>12000</v>
      </c>
      <c r="I224" s="618">
        <f t="shared" si="7"/>
        <v>12000</v>
      </c>
      <c r="J224" s="618"/>
      <c r="K224" s="618"/>
    </row>
    <row r="225" spans="1:11" ht="15.75" x14ac:dyDescent="0.25">
      <c r="A225" s="456">
        <v>223</v>
      </c>
      <c r="B225" s="615" t="s">
        <v>596</v>
      </c>
      <c r="C225" s="616"/>
      <c r="D225" s="616"/>
      <c r="E225" s="616"/>
      <c r="F225" s="617"/>
      <c r="G225" s="371">
        <v>1</v>
      </c>
      <c r="H225" s="371">
        <v>27000</v>
      </c>
      <c r="I225" s="618">
        <f t="shared" si="7"/>
        <v>27000</v>
      </c>
      <c r="J225" s="618"/>
      <c r="K225" s="618"/>
    </row>
    <row r="226" spans="1:11" ht="15.75" x14ac:dyDescent="0.25">
      <c r="A226" s="456">
        <v>224</v>
      </c>
      <c r="B226" s="615" t="s">
        <v>597</v>
      </c>
      <c r="C226" s="616"/>
      <c r="D226" s="616"/>
      <c r="E226" s="616"/>
      <c r="F226" s="617"/>
      <c r="G226" s="371">
        <v>1</v>
      </c>
      <c r="H226" s="371">
        <v>1000</v>
      </c>
      <c r="I226" s="618">
        <f t="shared" si="7"/>
        <v>1000</v>
      </c>
      <c r="J226" s="618"/>
      <c r="K226" s="618"/>
    </row>
  </sheetData>
  <mergeCells count="240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3:F3"/>
    <mergeCell ref="B18:F18"/>
    <mergeCell ref="B15:F15"/>
    <mergeCell ref="B5:F5"/>
    <mergeCell ref="B50:F50"/>
    <mergeCell ref="I6:K6"/>
    <mergeCell ref="I7:K7"/>
    <mergeCell ref="I8:K8"/>
    <mergeCell ref="I9:K9"/>
    <mergeCell ref="B7:F7"/>
    <mergeCell ref="B6:F6"/>
    <mergeCell ref="B4:F4"/>
    <mergeCell ref="I14:K14"/>
    <mergeCell ref="I15:K15"/>
    <mergeCell ref="I10:K10"/>
    <mergeCell ref="I11:K11"/>
    <mergeCell ref="I12:K12"/>
    <mergeCell ref="I13:K13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1:F121"/>
    <mergeCell ref="B122:F122"/>
    <mergeCell ref="B123:F123"/>
    <mergeCell ref="B139:F139"/>
    <mergeCell ref="B130:F130"/>
    <mergeCell ref="B131:F131"/>
    <mergeCell ref="B132:F132"/>
    <mergeCell ref="B133:F133"/>
    <mergeCell ref="B134:F134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89:F189"/>
    <mergeCell ref="I189:K189"/>
    <mergeCell ref="B190:F190"/>
    <mergeCell ref="I190:K190"/>
    <mergeCell ref="B191:F191"/>
    <mergeCell ref="B192:F192"/>
    <mergeCell ref="B193:F193"/>
    <mergeCell ref="B184:F184"/>
    <mergeCell ref="I184:K184"/>
    <mergeCell ref="B185:F185"/>
    <mergeCell ref="I185:K185"/>
    <mergeCell ref="B186:F186"/>
    <mergeCell ref="I186:K186"/>
    <mergeCell ref="B187:F187"/>
    <mergeCell ref="I187:K187"/>
    <mergeCell ref="I58:K58"/>
    <mergeCell ref="I59:K59"/>
    <mergeCell ref="I60:K60"/>
    <mergeCell ref="I115:K115"/>
    <mergeCell ref="I116:K116"/>
    <mergeCell ref="I191:K191"/>
    <mergeCell ref="I192:K192"/>
    <mergeCell ref="I193:K193"/>
    <mergeCell ref="I204:K204"/>
    <mergeCell ref="I188:K188"/>
    <mergeCell ref="I205:K205"/>
    <mergeCell ref="I206:K206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6"/>
  <sheetViews>
    <sheetView workbookViewId="0">
      <selection activeCell="D1" sqref="D1:E1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5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30.09.2019 № 77-ОС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53"/>
    </row>
    <row r="3" spans="1:5" x14ac:dyDescent="0.25">
      <c r="A3" s="654" t="s">
        <v>138</v>
      </c>
      <c r="B3" s="654"/>
      <c r="C3" s="654"/>
      <c r="D3" s="654"/>
      <c r="E3" s="654"/>
    </row>
    <row r="4" spans="1:5" ht="13.5" customHeight="1" x14ac:dyDescent="0.25">
      <c r="A4" s="655" t="s">
        <v>162</v>
      </c>
      <c r="B4" s="655"/>
      <c r="C4" s="655"/>
      <c r="D4" s="655"/>
      <c r="E4" s="655"/>
    </row>
    <row r="5" spans="1:5" ht="60" x14ac:dyDescent="0.25">
      <c r="A5" s="142" t="s">
        <v>139</v>
      </c>
      <c r="B5" s="68" t="s">
        <v>140</v>
      </c>
      <c r="C5" s="142" t="s">
        <v>141</v>
      </c>
      <c r="D5" s="142" t="s">
        <v>142</v>
      </c>
      <c r="E5" s="142" t="s">
        <v>143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664" t="s">
        <v>164</v>
      </c>
      <c r="B7" s="662" t="s">
        <v>165</v>
      </c>
      <c r="C7" s="656" t="s">
        <v>144</v>
      </c>
      <c r="D7" s="657"/>
      <c r="E7" s="658"/>
    </row>
    <row r="8" spans="1:5" ht="14.45" customHeight="1" x14ac:dyDescent="0.25">
      <c r="A8" s="665"/>
      <c r="B8" s="663"/>
      <c r="C8" s="659" t="s">
        <v>145</v>
      </c>
      <c r="D8" s="660"/>
      <c r="E8" s="661"/>
    </row>
    <row r="9" spans="1:5" ht="12" customHeight="1" x14ac:dyDescent="0.25">
      <c r="A9" s="665"/>
      <c r="B9" s="663"/>
      <c r="C9" s="116" t="s">
        <v>152</v>
      </c>
      <c r="D9" s="144" t="s">
        <v>146</v>
      </c>
      <c r="E9" s="281">
        <f>патриотика!D25</f>
        <v>2.2511999999999999</v>
      </c>
    </row>
    <row r="10" spans="1:5" ht="12" customHeight="1" x14ac:dyDescent="0.25">
      <c r="A10" s="665"/>
      <c r="B10" s="663"/>
      <c r="C10" s="116" t="s">
        <v>102</v>
      </c>
      <c r="D10" s="145" t="s">
        <v>146</v>
      </c>
      <c r="E10" s="281">
        <f>патриотика!D24</f>
        <v>0.40200000000000002</v>
      </c>
    </row>
    <row r="11" spans="1:5" ht="12" customHeight="1" x14ac:dyDescent="0.25">
      <c r="A11" s="665"/>
      <c r="B11" s="663"/>
      <c r="C11" s="675" t="s">
        <v>156</v>
      </c>
      <c r="D11" s="676"/>
      <c r="E11" s="677"/>
    </row>
    <row r="12" spans="1:5" ht="40.15" customHeight="1" x14ac:dyDescent="0.25">
      <c r="A12" s="665"/>
      <c r="B12" s="663"/>
      <c r="C12" s="130" t="s">
        <v>287</v>
      </c>
      <c r="D12" s="108" t="s">
        <v>39</v>
      </c>
      <c r="E12" s="280">
        <f>патриотика!E45</f>
        <v>0.40200000000000002</v>
      </c>
    </row>
    <row r="13" spans="1:5" ht="25.5" customHeight="1" x14ac:dyDescent="0.25">
      <c r="A13" s="665"/>
      <c r="B13" s="663"/>
      <c r="C13" s="130" t="s">
        <v>288</v>
      </c>
      <c r="D13" s="108" t="s">
        <v>39</v>
      </c>
      <c r="E13" s="280">
        <f>патриотика!E46</f>
        <v>0.40200000000000002</v>
      </c>
    </row>
    <row r="14" spans="1:5" ht="22.9" customHeight="1" x14ac:dyDescent="0.25">
      <c r="A14" s="665"/>
      <c r="B14" s="663"/>
      <c r="C14" s="130" t="s">
        <v>289</v>
      </c>
      <c r="D14" s="108" t="s">
        <v>39</v>
      </c>
      <c r="E14" s="280">
        <f>патриотика!E47</f>
        <v>0.40200000000000002</v>
      </c>
    </row>
    <row r="15" spans="1:5" ht="27" customHeight="1" x14ac:dyDescent="0.25">
      <c r="A15" s="665"/>
      <c r="B15" s="663"/>
      <c r="C15" s="678" t="s">
        <v>157</v>
      </c>
      <c r="D15" s="679"/>
      <c r="E15" s="680"/>
    </row>
    <row r="16" spans="1:5" ht="30" hidden="1" customHeight="1" x14ac:dyDescent="0.25">
      <c r="A16" s="665"/>
      <c r="B16" s="663"/>
      <c r="C16" s="140" t="str">
        <f>патриотика!A55</f>
        <v>Праздничное мероприятие, посвященное Дню памяти войнов-интернационалистов</v>
      </c>
      <c r="D16" s="108"/>
      <c r="E16" s="95"/>
    </row>
    <row r="17" spans="1:5" ht="12" customHeight="1" x14ac:dyDescent="0.25">
      <c r="A17" s="665"/>
      <c r="B17" s="663"/>
      <c r="C17" s="140" t="str">
        <f>патриотика!A56</f>
        <v>Медаль с подвесом, гравированная, футляр</v>
      </c>
      <c r="D17" s="231" t="s">
        <v>91</v>
      </c>
      <c r="E17" s="95">
        <f>патриотика!E56</f>
        <v>12</v>
      </c>
    </row>
    <row r="18" spans="1:5" ht="12" customHeight="1" x14ac:dyDescent="0.25">
      <c r="A18" s="665"/>
      <c r="B18" s="663"/>
      <c r="C18" s="140" t="str">
        <f>патриотика!A57</f>
        <v>Организация питания участников мероприятия</v>
      </c>
      <c r="D18" s="303" t="s">
        <v>91</v>
      </c>
      <c r="E18" s="95">
        <f>патриотика!E57</f>
        <v>13</v>
      </c>
    </row>
    <row r="19" spans="1:5" ht="12" hidden="1" customHeight="1" x14ac:dyDescent="0.25">
      <c r="A19" s="665"/>
      <c r="B19" s="663"/>
      <c r="C19" s="140" t="str">
        <f>патриотика!A58</f>
        <v>Сетевая акция «Георгиевская ленточка»</v>
      </c>
      <c r="D19" s="303" t="s">
        <v>91</v>
      </c>
      <c r="E19" s="95">
        <f>патриотика!E58</f>
        <v>0</v>
      </c>
    </row>
    <row r="20" spans="1:5" ht="12" customHeight="1" x14ac:dyDescent="0.25">
      <c r="A20" s="665"/>
      <c r="B20" s="663"/>
      <c r="C20" s="140" t="str">
        <f>патриотика!A59</f>
        <v>Георгиевская ленточка (бабина)</v>
      </c>
      <c r="D20" s="303" t="s">
        <v>91</v>
      </c>
      <c r="E20" s="95">
        <f>патриотика!E59</f>
        <v>6</v>
      </c>
    </row>
    <row r="21" spans="1:5" ht="12" customHeight="1" x14ac:dyDescent="0.25">
      <c r="A21" s="665"/>
      <c r="B21" s="663"/>
      <c r="C21" s="140" t="str">
        <f>патриотика!A60</f>
        <v>Жилет "Волонтеры Победы"</v>
      </c>
      <c r="D21" s="303" t="s">
        <v>91</v>
      </c>
      <c r="E21" s="95">
        <f>патриотика!E60</f>
        <v>7</v>
      </c>
    </row>
    <row r="22" spans="1:5" ht="12" hidden="1" customHeight="1" x14ac:dyDescent="0.25">
      <c r="A22" s="665"/>
      <c r="B22" s="663"/>
      <c r="C22" s="140" t="str">
        <f>патриотика!A61</f>
        <v>Акция «Бессмертный полк».</v>
      </c>
      <c r="D22" s="303" t="s">
        <v>91</v>
      </c>
      <c r="E22" s="95">
        <f>патриотика!E61</f>
        <v>0</v>
      </c>
    </row>
    <row r="23" spans="1:5" ht="12" customHeight="1" x14ac:dyDescent="0.25">
      <c r="A23" s="665"/>
      <c r="B23" s="663"/>
      <c r="C23" s="140" t="str">
        <f>патриотика!A62</f>
        <v xml:space="preserve">Фотобумага IST глянцевая односторонняя, А4 (21х29,7), 150 гр/м2, 100 листов </v>
      </c>
      <c r="D23" s="303" t="s">
        <v>91</v>
      </c>
      <c r="E23" s="95">
        <f>патриотика!E62</f>
        <v>10</v>
      </c>
    </row>
    <row r="24" spans="1:5" ht="12" customHeight="1" x14ac:dyDescent="0.25">
      <c r="A24" s="665"/>
      <c r="B24" s="663"/>
      <c r="C24" s="140" t="str">
        <f>патриотика!A63</f>
        <v>Пленка для ламинирования Cactus 80мкм A4 (100шт) глянцевая 216x303мм CS-LPGA480100</v>
      </c>
      <c r="D24" s="303" t="s">
        <v>91</v>
      </c>
      <c r="E24" s="95">
        <f>патриотика!E63</f>
        <v>3</v>
      </c>
    </row>
    <row r="25" spans="1:5" ht="12" customHeight="1" x14ac:dyDescent="0.25">
      <c r="A25" s="665"/>
      <c r="B25" s="663"/>
      <c r="C25" s="140" t="str">
        <f>патриотика!A64</f>
        <v>Чернила для заправки Canon PIXMA G3400 пигментные + водные InkTec, комплект 4 х 100 мл</v>
      </c>
      <c r="D25" s="303" t="s">
        <v>91</v>
      </c>
      <c r="E25" s="95">
        <f>патриотика!E64</f>
        <v>4</v>
      </c>
    </row>
    <row r="26" spans="1:5" ht="12" customHeight="1" x14ac:dyDescent="0.25">
      <c r="A26" s="665"/>
      <c r="B26" s="663"/>
      <c r="C26" s="140" t="str">
        <f>патриотика!A65</f>
        <v>Сетевая акция «Свеча Памяти»</v>
      </c>
      <c r="D26" s="303" t="s">
        <v>91</v>
      </c>
      <c r="E26" s="95">
        <f>патриотика!E65</f>
        <v>0</v>
      </c>
    </row>
    <row r="27" spans="1:5" ht="12" customHeight="1" x14ac:dyDescent="0.25">
      <c r="A27" s="665"/>
      <c r="B27" s="663"/>
      <c r="C27" s="140" t="str">
        <f>патриотика!A66</f>
        <v>Лампада с вкладышем</v>
      </c>
      <c r="D27" s="303" t="s">
        <v>91</v>
      </c>
      <c r="E27" s="95">
        <f>патриотика!E66</f>
        <v>300</v>
      </c>
    </row>
    <row r="28" spans="1:5" ht="12" customHeight="1" x14ac:dyDescent="0.25">
      <c r="A28" s="665"/>
      <c r="B28" s="663"/>
      <c r="C28" s="140" t="str">
        <f>патриотика!A67</f>
        <v>Парафиновый вкладыш</v>
      </c>
      <c r="D28" s="303" t="s">
        <v>91</v>
      </c>
      <c r="E28" s="95">
        <f>патриотика!E67</f>
        <v>330</v>
      </c>
    </row>
    <row r="29" spans="1:5" ht="12" customHeight="1" x14ac:dyDescent="0.25">
      <c r="A29" s="665"/>
      <c r="B29" s="663"/>
      <c r="C29" s="140" t="str">
        <f>патриотика!A68</f>
        <v>Баннер</v>
      </c>
      <c r="D29" s="303" t="s">
        <v>91</v>
      </c>
      <c r="E29" s="95">
        <f>патриотика!E68</f>
        <v>3</v>
      </c>
    </row>
    <row r="30" spans="1:5" ht="12" customHeight="1" x14ac:dyDescent="0.25">
      <c r="A30" s="665"/>
      <c r="B30" s="663"/>
      <c r="C30" s="140" t="str">
        <f>патриотика!A69</f>
        <v>Форма РККА комплект</v>
      </c>
      <c r="D30" s="303" t="s">
        <v>91</v>
      </c>
      <c r="E30" s="95">
        <f>патриотика!E69</f>
        <v>3</v>
      </c>
    </row>
    <row r="31" spans="1:5" ht="12" hidden="1" customHeight="1" x14ac:dyDescent="0.25">
      <c r="A31" s="665"/>
      <c r="B31" s="663"/>
      <c r="C31" s="140" t="str">
        <f>патриотика!A70</f>
        <v>Форма РККА комплект</v>
      </c>
      <c r="D31" s="303" t="s">
        <v>91</v>
      </c>
      <c r="E31" s="95">
        <f>патриотика!E70</f>
        <v>3</v>
      </c>
    </row>
    <row r="32" spans="1:5" ht="12" customHeight="1" x14ac:dyDescent="0.25">
      <c r="A32" s="665"/>
      <c r="B32" s="663"/>
      <c r="C32" s="140" t="str">
        <f>патриотика!A71</f>
        <v>Каска</v>
      </c>
      <c r="D32" s="303" t="s">
        <v>91</v>
      </c>
      <c r="E32" s="95">
        <f>патриотика!E71</f>
        <v>5</v>
      </c>
    </row>
    <row r="33" spans="1:5" ht="12" customHeight="1" x14ac:dyDescent="0.25">
      <c r="A33" s="665"/>
      <c r="B33" s="663"/>
      <c r="C33" s="140" t="str">
        <f>патриотика!A72</f>
        <v xml:space="preserve">Конкурс на лучшую полевую кухню в рамках Всероссийской акции «Солдатская каша». </v>
      </c>
      <c r="D33" s="303" t="s">
        <v>91</v>
      </c>
      <c r="E33" s="95">
        <f>патриотика!E72</f>
        <v>0</v>
      </c>
    </row>
    <row r="34" spans="1:5" ht="12" hidden="1" customHeight="1" x14ac:dyDescent="0.25">
      <c r="A34" s="665"/>
      <c r="B34" s="663"/>
      <c r="C34" s="140" t="str">
        <f>патриотика!A73</f>
        <v>Подарочные наборы</v>
      </c>
      <c r="D34" s="303" t="s">
        <v>91</v>
      </c>
      <c r="E34" s="95">
        <f>патриотика!E73</f>
        <v>4</v>
      </c>
    </row>
    <row r="35" spans="1:5" ht="12" customHeight="1" x14ac:dyDescent="0.25">
      <c r="A35" s="665"/>
      <c r="B35" s="663"/>
      <c r="C35" s="140" t="str">
        <f>патриотика!A74</f>
        <v>Баннер</v>
      </c>
      <c r="D35" s="303" t="s">
        <v>91</v>
      </c>
      <c r="E35" s="95">
        <f>патриотика!E74</f>
        <v>1</v>
      </c>
    </row>
    <row r="36" spans="1:5" ht="12" customHeight="1" x14ac:dyDescent="0.25">
      <c r="A36" s="665"/>
      <c r="B36" s="663"/>
      <c r="C36" s="140" t="str">
        <f>патриотика!A75</f>
        <v>Организация этно-краеведческого квеста на фестивале СЭВЭКИ</v>
      </c>
      <c r="D36" s="303" t="s">
        <v>91</v>
      </c>
      <c r="E36" s="95">
        <f>патриотика!E75</f>
        <v>0</v>
      </c>
    </row>
    <row r="37" spans="1:5" ht="12" customHeight="1" x14ac:dyDescent="0.25">
      <c r="A37" s="665"/>
      <c r="B37" s="663"/>
      <c r="C37" s="140" t="str">
        <f>патриотика!A76</f>
        <v>Подарочные наборы</v>
      </c>
      <c r="D37" s="303" t="s">
        <v>91</v>
      </c>
      <c r="E37" s="95">
        <f>патриотика!E76</f>
        <v>3</v>
      </c>
    </row>
    <row r="38" spans="1:5" ht="12" hidden="1" customHeight="1" x14ac:dyDescent="0.25">
      <c r="A38" s="665"/>
      <c r="B38" s="663"/>
      <c r="C38" s="140" t="str">
        <f>патриотика!A77</f>
        <v>Футболки</v>
      </c>
      <c r="D38" s="303" t="s">
        <v>91</v>
      </c>
      <c r="E38" s="95">
        <f>патриотика!E77</f>
        <v>10</v>
      </c>
    </row>
    <row r="39" spans="1:5" ht="12" customHeight="1" x14ac:dyDescent="0.25">
      <c r="A39" s="665"/>
      <c r="B39" s="663"/>
      <c r="C39" s="140" t="str">
        <f>патриотика!A78</f>
        <v>Баннер</v>
      </c>
      <c r="D39" s="303" t="s">
        <v>91</v>
      </c>
      <c r="E39" s="95">
        <f>патриотика!E78</f>
        <v>1</v>
      </c>
    </row>
    <row r="40" spans="1:5" ht="12" customHeight="1" x14ac:dyDescent="0.25">
      <c r="A40" s="665"/>
      <c r="B40" s="663"/>
      <c r="C40" s="140" t="str">
        <f>патриотика!A79</f>
        <v>Проведение муниципального этапа военно-патриотической игры «Сибирский щит».</v>
      </c>
      <c r="D40" s="303" t="s">
        <v>91</v>
      </c>
      <c r="E40" s="95">
        <f>патриотика!E79</f>
        <v>0</v>
      </c>
    </row>
    <row r="41" spans="1:5" ht="12" customHeight="1" x14ac:dyDescent="0.25">
      <c r="A41" s="665"/>
      <c r="B41" s="663"/>
      <c r="C41" s="140" t="str">
        <f>патриотика!A80</f>
        <v>Подарочные наборы</v>
      </c>
      <c r="D41" s="303" t="s">
        <v>91</v>
      </c>
      <c r="E41" s="95">
        <f>патриотика!E80</f>
        <v>3</v>
      </c>
    </row>
    <row r="42" spans="1:5" ht="12" hidden="1" customHeight="1" x14ac:dyDescent="0.25">
      <c r="A42" s="665"/>
      <c r="B42" s="663"/>
      <c r="C42" s="140" t="str">
        <f>патриотика!A81</f>
        <v>Футболка поло для судей</v>
      </c>
      <c r="D42" s="303" t="s">
        <v>91</v>
      </c>
      <c r="E42" s="95">
        <f>патриотика!E81</f>
        <v>6</v>
      </c>
    </row>
    <row r="43" spans="1:5" ht="12" customHeight="1" x14ac:dyDescent="0.25">
      <c r="A43" s="665"/>
      <c r="B43" s="663"/>
      <c r="C43" s="140" t="str">
        <f>патриотика!A82</f>
        <v>Баннер</v>
      </c>
      <c r="D43" s="303" t="s">
        <v>91</v>
      </c>
      <c r="E43" s="95">
        <f>патриотика!E82</f>
        <v>1</v>
      </c>
    </row>
    <row r="44" spans="1:5" ht="12" customHeight="1" x14ac:dyDescent="0.25">
      <c r="A44" s="665"/>
      <c r="B44" s="663"/>
      <c r="C44" s="140" t="str">
        <f>патриотика!A83</f>
        <v>Фестиваль «Живая история». Военно-исторический форум в рамках празднования Дня народного единства.</v>
      </c>
      <c r="D44" s="303" t="s">
        <v>91</v>
      </c>
      <c r="E44" s="95">
        <f>патриотика!E83</f>
        <v>0</v>
      </c>
    </row>
    <row r="45" spans="1:5" ht="12" customHeight="1" x14ac:dyDescent="0.25">
      <c r="A45" s="665"/>
      <c r="B45" s="663"/>
      <c r="C45" s="140" t="str">
        <f>патриотика!A84</f>
        <v>Подарочные наборы</v>
      </c>
      <c r="D45" s="303" t="s">
        <v>91</v>
      </c>
      <c r="E45" s="95">
        <f>патриотика!E84</f>
        <v>3</v>
      </c>
    </row>
    <row r="46" spans="1:5" ht="12" hidden="1" customHeight="1" x14ac:dyDescent="0.25">
      <c r="A46" s="665"/>
      <c r="B46" s="663"/>
      <c r="C46" s="140">
        <f>патриотика!A87</f>
        <v>0</v>
      </c>
      <c r="D46" s="303" t="s">
        <v>91</v>
      </c>
      <c r="E46" s="355"/>
    </row>
    <row r="47" spans="1:5" ht="12" hidden="1" customHeight="1" x14ac:dyDescent="0.25">
      <c r="A47" s="665"/>
      <c r="B47" s="663"/>
      <c r="C47" s="140">
        <f>патриотика!A88</f>
        <v>0</v>
      </c>
      <c r="D47" s="303" t="s">
        <v>91</v>
      </c>
      <c r="E47" s="355"/>
    </row>
    <row r="48" spans="1:5" ht="12" hidden="1" customHeight="1" x14ac:dyDescent="0.25">
      <c r="A48" s="665"/>
      <c r="B48" s="663"/>
      <c r="C48" s="140">
        <f>патриотика!A89</f>
        <v>0</v>
      </c>
      <c r="D48" s="303" t="s">
        <v>91</v>
      </c>
      <c r="E48" s="355"/>
    </row>
    <row r="49" spans="1:5" ht="12" hidden="1" customHeight="1" x14ac:dyDescent="0.25">
      <c r="A49" s="665"/>
      <c r="B49" s="663"/>
      <c r="C49" s="140">
        <f>патриотика!A90</f>
        <v>0</v>
      </c>
      <c r="D49" s="303" t="s">
        <v>91</v>
      </c>
      <c r="E49" s="355"/>
    </row>
    <row r="50" spans="1:5" ht="26.45" customHeight="1" x14ac:dyDescent="0.25">
      <c r="A50" s="665"/>
      <c r="B50" s="663"/>
      <c r="C50" s="666" t="s">
        <v>147</v>
      </c>
      <c r="D50" s="667"/>
      <c r="E50" s="668"/>
    </row>
    <row r="51" spans="1:5" ht="14.45" customHeight="1" x14ac:dyDescent="0.25">
      <c r="A51" s="665"/>
      <c r="B51" s="663"/>
      <c r="C51" s="666" t="s">
        <v>148</v>
      </c>
      <c r="D51" s="667"/>
      <c r="E51" s="668"/>
    </row>
    <row r="52" spans="1:5" ht="14.45" customHeight="1" x14ac:dyDescent="0.25">
      <c r="A52" s="665"/>
      <c r="B52" s="663"/>
      <c r="C52" s="146" t="str">
        <f>'натур показатели инновации+добр'!C35</f>
        <v>Теплоэнергия</v>
      </c>
      <c r="D52" s="147" t="str">
        <f>'натур показатели инновации+добр'!D35</f>
        <v>Гкал</v>
      </c>
      <c r="E52" s="148">
        <f>патриотика!D130</f>
        <v>22.110000000000003</v>
      </c>
    </row>
    <row r="53" spans="1:5" ht="14.45" customHeight="1" x14ac:dyDescent="0.25">
      <c r="A53" s="665"/>
      <c r="B53" s="663"/>
      <c r="C53" s="146" t="str">
        <f>'натур показатели инновации+добр'!C36</f>
        <v>Водоснабжение 1 полугодие</v>
      </c>
      <c r="D53" s="147" t="str">
        <f>'натур показатели инновации+добр'!D36</f>
        <v>м3</v>
      </c>
      <c r="E53" s="148">
        <f>патриотика!D131</f>
        <v>42.732599999999998</v>
      </c>
    </row>
    <row r="54" spans="1:5" ht="14.45" customHeight="1" x14ac:dyDescent="0.25">
      <c r="A54" s="665"/>
      <c r="B54" s="663"/>
      <c r="C54" s="146" t="str">
        <f>'натур показатели инновации+добр'!C37</f>
        <v>Водоснабжение 2 полугодие</v>
      </c>
      <c r="D54" s="147" t="str">
        <f>'натур показатели инновации+добр'!D37</f>
        <v>м3</v>
      </c>
      <c r="E54" s="148">
        <f>патриотика!D132</f>
        <v>42.732599999999998</v>
      </c>
    </row>
    <row r="55" spans="1:5" ht="14.45" customHeight="1" x14ac:dyDescent="0.25">
      <c r="A55" s="665"/>
      <c r="B55" s="663"/>
      <c r="C55" s="146" t="str">
        <f>'натур показатели инновации+добр'!C38</f>
        <v>Электроэнергия</v>
      </c>
      <c r="D55" s="147" t="str">
        <f>'натур показатели инновации+добр'!D38</f>
        <v>КВТ/ч</v>
      </c>
      <c r="E55" s="148">
        <f>патриотика!D133</f>
        <v>4.16472</v>
      </c>
    </row>
    <row r="56" spans="1:5" ht="14.45" customHeight="1" x14ac:dyDescent="0.25">
      <c r="A56" s="665"/>
      <c r="B56" s="663"/>
      <c r="C56" s="146" t="str">
        <f>'натур показатели инновации+добр'!C39</f>
        <v>Водоотведение (септик)  откачка асс. машиной 6 раз в год</v>
      </c>
      <c r="D56" s="147" t="str">
        <f>'натур показатели инновации+добр'!D39</f>
        <v>дог</v>
      </c>
      <c r="E56" s="148">
        <f>патриотика!D134</f>
        <v>4.8239999999999998</v>
      </c>
    </row>
    <row r="57" spans="1:5" ht="14.45" customHeight="1" x14ac:dyDescent="0.25">
      <c r="A57" s="665"/>
      <c r="B57" s="663"/>
      <c r="C57" s="146" t="str">
        <f>'натур показатели инновации+добр'!C40</f>
        <v>ТКО</v>
      </c>
      <c r="D57" s="147" t="str">
        <f>'натур показатели инновации+добр'!D40</f>
        <v>м3</v>
      </c>
      <c r="E57" s="148">
        <f>патриотика!D135</f>
        <v>1.4616720000000001</v>
      </c>
    </row>
    <row r="58" spans="1:5" ht="39" customHeight="1" x14ac:dyDescent="0.25">
      <c r="A58" s="665"/>
      <c r="B58" s="663"/>
      <c r="C58" s="672" t="s">
        <v>149</v>
      </c>
      <c r="D58" s="673"/>
      <c r="E58" s="674"/>
    </row>
    <row r="59" spans="1:5" ht="23.25" customHeight="1" x14ac:dyDescent="0.25">
      <c r="A59" s="665"/>
      <c r="B59" s="663"/>
      <c r="C59" s="149" t="str">
        <f>патриотика!A186</f>
        <v xml:space="preserve">Обслуживание систем пожарной сигнализации  </v>
      </c>
      <c r="D59" s="319" t="str">
        <f>патриотика!B186</f>
        <v>договор</v>
      </c>
      <c r="E59" s="319">
        <f>патриотика!D186</f>
        <v>4.8239999999999998</v>
      </c>
    </row>
    <row r="60" spans="1:5" ht="22.5" customHeight="1" x14ac:dyDescent="0.25">
      <c r="A60" s="665"/>
      <c r="B60" s="663"/>
      <c r="C60" s="149" t="str">
        <f>патриотика!A187</f>
        <v xml:space="preserve">Уборка территории от снега </v>
      </c>
      <c r="D60" s="319" t="str">
        <f>патриотика!B187</f>
        <v>договор</v>
      </c>
      <c r="E60" s="319">
        <f>патриотика!D187</f>
        <v>0.80400000000000005</v>
      </c>
    </row>
    <row r="61" spans="1:5" ht="15" customHeight="1" x14ac:dyDescent="0.25">
      <c r="A61" s="665"/>
      <c r="B61" s="663"/>
      <c r="C61" s="149" t="str">
        <f>патриотика!A188</f>
        <v>Профилактическая дезинфекция</v>
      </c>
      <c r="D61" s="319" t="str">
        <f>патриотика!B188</f>
        <v>договор</v>
      </c>
      <c r="E61" s="319">
        <f>патриотика!D188</f>
        <v>0.40200000000000002</v>
      </c>
    </row>
    <row r="62" spans="1:5" ht="15" customHeight="1" x14ac:dyDescent="0.25">
      <c r="A62" s="665"/>
      <c r="B62" s="663"/>
      <c r="C62" s="149" t="str">
        <f>патриотика!A189</f>
        <v>Комплексное обслуживание системы тепловодоснабжения и конструктивных элементов здания</v>
      </c>
      <c r="D62" s="319" t="str">
        <f>патриотика!B189</f>
        <v>договор</v>
      </c>
      <c r="E62" s="319">
        <f>патриотика!D189</f>
        <v>0.40200000000000002</v>
      </c>
    </row>
    <row r="63" spans="1:5" ht="15" customHeight="1" x14ac:dyDescent="0.25">
      <c r="A63" s="665"/>
      <c r="B63" s="663"/>
      <c r="C63" s="149" t="str">
        <f>патриотика!A190</f>
        <v>Договор осмотр технического состояния автомобиля</v>
      </c>
      <c r="D63" s="319" t="str">
        <f>патриотика!B190</f>
        <v>договор</v>
      </c>
      <c r="E63" s="319">
        <f>патриотика!D190</f>
        <v>34.17</v>
      </c>
    </row>
    <row r="64" spans="1:5" ht="15" customHeight="1" x14ac:dyDescent="0.25">
      <c r="A64" s="665"/>
      <c r="B64" s="663"/>
      <c r="C64" s="149" t="str">
        <f>патриотика!A191</f>
        <v>Разбор и сбор моста</v>
      </c>
      <c r="D64" s="319" t="str">
        <f>патриотика!B191</f>
        <v>договор</v>
      </c>
      <c r="E64" s="319">
        <f>патриотика!D191</f>
        <v>0.40200000000000002</v>
      </c>
    </row>
    <row r="65" spans="1:5" ht="15" customHeight="1" x14ac:dyDescent="0.25">
      <c r="A65" s="665"/>
      <c r="B65" s="663"/>
      <c r="C65" s="149" t="str">
        <f>патриотика!A192</f>
        <v>Правка передней оси под прессом</v>
      </c>
      <c r="D65" s="319" t="str">
        <f>патриотика!B192</f>
        <v>договор</v>
      </c>
      <c r="E65" s="319">
        <f>патриотика!D192</f>
        <v>0.40200000000000002</v>
      </c>
    </row>
    <row r="66" spans="1:5" ht="15" customHeight="1" x14ac:dyDescent="0.25">
      <c r="A66" s="665"/>
      <c r="B66" s="663"/>
      <c r="C66" s="149" t="str">
        <f>патриотика!A193</f>
        <v>Ремонт шкворня</v>
      </c>
      <c r="D66" s="319" t="str">
        <f>патриотика!B193</f>
        <v>договор</v>
      </c>
      <c r="E66" s="319">
        <f>патриотика!D193</f>
        <v>0.80400000000000005</v>
      </c>
    </row>
    <row r="67" spans="1:5" ht="15" customHeight="1" x14ac:dyDescent="0.25">
      <c r="A67" s="665"/>
      <c r="B67" s="663"/>
      <c r="C67" s="149" t="str">
        <f>патриотика!A194</f>
        <v>Ремонт поворотной цапфы</v>
      </c>
      <c r="D67" s="319" t="str">
        <f>патриотика!B194</f>
        <v>договор</v>
      </c>
      <c r="E67" s="319">
        <f>патриотика!D194</f>
        <v>0.80400000000000005</v>
      </c>
    </row>
    <row r="68" spans="1:5" ht="15" customHeight="1" x14ac:dyDescent="0.25">
      <c r="A68" s="665"/>
      <c r="B68" s="663"/>
      <c r="C68" s="149" t="str">
        <f>патриотика!A195</f>
        <v>Восстановление площадки под крепление рессор</v>
      </c>
      <c r="D68" s="319" t="str">
        <f>патриотика!B195</f>
        <v>договор</v>
      </c>
      <c r="E68" s="319">
        <f>патриотика!D195</f>
        <v>0.80400000000000005</v>
      </c>
    </row>
    <row r="69" spans="1:5" ht="15" customHeight="1" x14ac:dyDescent="0.25">
      <c r="A69" s="665"/>
      <c r="B69" s="663"/>
      <c r="C69" s="149" t="str">
        <f>патриотика!A196</f>
        <v>Обработка абразивным кругом</v>
      </c>
      <c r="D69" s="319" t="str">
        <f>патриотика!B196</f>
        <v>договор</v>
      </c>
      <c r="E69" s="319">
        <f>патриотика!D196</f>
        <v>0.80400000000000005</v>
      </c>
    </row>
    <row r="70" spans="1:5" ht="15" customHeight="1" x14ac:dyDescent="0.25">
      <c r="A70" s="665"/>
      <c r="B70" s="663"/>
      <c r="C70" s="149" t="str">
        <f>патриотика!A197</f>
        <v>Ремонт шестерней редуктора</v>
      </c>
      <c r="D70" s="319" t="str">
        <f>патриотика!B197</f>
        <v>договор</v>
      </c>
      <c r="E70" s="319">
        <f>патриотика!D197</f>
        <v>0.40200000000000002</v>
      </c>
    </row>
    <row r="71" spans="1:5" ht="15" customHeight="1" x14ac:dyDescent="0.25">
      <c r="A71" s="665"/>
      <c r="B71" s="663"/>
      <c r="C71" s="149" t="str">
        <f>патриотика!A198</f>
        <v>Ремонт главной пары передний и задний мост</v>
      </c>
      <c r="D71" s="319" t="str">
        <f>патриотика!B198</f>
        <v>договор</v>
      </c>
      <c r="E71" s="319">
        <f>патриотика!D198</f>
        <v>0.40200000000000002</v>
      </c>
    </row>
    <row r="72" spans="1:5" ht="15" customHeight="1" x14ac:dyDescent="0.25">
      <c r="A72" s="665"/>
      <c r="B72" s="663"/>
      <c r="C72" s="149" t="str">
        <f>патриотика!A199</f>
        <v>Покраска переднего бампера</v>
      </c>
      <c r="D72" s="319" t="str">
        <f>патриотика!B199</f>
        <v>договор</v>
      </c>
      <c r="E72" s="319">
        <f>патриотика!D199</f>
        <v>0.40200000000000002</v>
      </c>
    </row>
    <row r="73" spans="1:5" ht="26.25" customHeight="1" x14ac:dyDescent="0.25">
      <c r="A73" s="665"/>
      <c r="B73" s="663"/>
      <c r="C73" s="149" t="str">
        <f>патриотика!A200</f>
        <v>Покраска капота</v>
      </c>
      <c r="D73" s="319" t="str">
        <f>патриотика!B211</f>
        <v>договор</v>
      </c>
      <c r="E73" s="319">
        <f>патриотика!D200</f>
        <v>0.40200000000000002</v>
      </c>
    </row>
    <row r="74" spans="1:5" ht="15" customHeight="1" x14ac:dyDescent="0.25">
      <c r="A74" s="665"/>
      <c r="B74" s="663"/>
      <c r="C74" s="149" t="str">
        <f>патриотика!A201</f>
        <v>Покраска переднего левого крыла</v>
      </c>
      <c r="D74" s="319" t="str">
        <f>патриотика!B212</f>
        <v>договор</v>
      </c>
      <c r="E74" s="319">
        <f>патриотика!D201</f>
        <v>0.40200000000000002</v>
      </c>
    </row>
    <row r="75" spans="1:5" ht="15" customHeight="1" x14ac:dyDescent="0.25">
      <c r="A75" s="665"/>
      <c r="B75" s="663"/>
      <c r="C75" s="149" t="str">
        <f>патриотика!A202</f>
        <v>Покраска переднего правого крыла</v>
      </c>
      <c r="D75" s="319" t="str">
        <f>патриотика!B213</f>
        <v>договор</v>
      </c>
      <c r="E75" s="319">
        <f>патриотика!D202</f>
        <v>0.40200000000000002</v>
      </c>
    </row>
    <row r="76" spans="1:5" ht="15" customHeight="1" x14ac:dyDescent="0.25">
      <c r="A76" s="665"/>
      <c r="B76" s="663"/>
      <c r="C76" s="149" t="str">
        <f>патриотика!A203</f>
        <v>Покраска передней левой двери</v>
      </c>
      <c r="D76" s="319" t="str">
        <f>патриотика!B214</f>
        <v>договор</v>
      </c>
      <c r="E76" s="319">
        <f>патриотика!D203</f>
        <v>0.40200000000000002</v>
      </c>
    </row>
    <row r="77" spans="1:5" ht="28.5" customHeight="1" x14ac:dyDescent="0.25">
      <c r="A77" s="665"/>
      <c r="B77" s="663"/>
      <c r="C77" s="149" t="str">
        <f>патриотика!A204</f>
        <v>Покраска двери передней правой</v>
      </c>
      <c r="D77" s="319" t="str">
        <f>патриотика!B215</f>
        <v>договор</v>
      </c>
      <c r="E77" s="319">
        <f>патриотика!D204</f>
        <v>0.40200000000000002</v>
      </c>
    </row>
    <row r="78" spans="1:5" ht="15" customHeight="1" x14ac:dyDescent="0.25">
      <c r="A78" s="665"/>
      <c r="B78" s="663"/>
      <c r="C78" s="149" t="str">
        <f>патриотика!A205</f>
        <v>Покраска стойки правой</v>
      </c>
      <c r="D78" s="319" t="str">
        <f>патриотика!B216</f>
        <v>договор</v>
      </c>
      <c r="E78" s="319">
        <f>патриотика!D205</f>
        <v>0.40200000000000002</v>
      </c>
    </row>
    <row r="79" spans="1:5" ht="15" customHeight="1" x14ac:dyDescent="0.25">
      <c r="A79" s="665"/>
      <c r="B79" s="663"/>
      <c r="C79" s="149" t="str">
        <f>патриотика!A206</f>
        <v>Ремонт заднего бампера</v>
      </c>
      <c r="D79" s="319" t="str">
        <f>патриотика!B217</f>
        <v>договор</v>
      </c>
      <c r="E79" s="319">
        <f>патриотика!D206</f>
        <v>0.40200000000000002</v>
      </c>
    </row>
    <row r="80" spans="1:5" ht="15" customHeight="1" x14ac:dyDescent="0.25">
      <c r="A80" s="665"/>
      <c r="B80" s="663"/>
      <c r="C80" s="149" t="str">
        <f>патриотика!A207</f>
        <v>Покраска заднего бампера</v>
      </c>
      <c r="D80" s="319" t="str">
        <f>патриотика!B218</f>
        <v>договор</v>
      </c>
      <c r="E80" s="319">
        <f>патриотика!D207</f>
        <v>0.40200000000000002</v>
      </c>
    </row>
    <row r="81" spans="1:5" ht="15" customHeight="1" x14ac:dyDescent="0.25">
      <c r="A81" s="665"/>
      <c r="B81" s="663"/>
      <c r="C81" s="149" t="str">
        <f>патриотика!A208</f>
        <v>Полировка кузова</v>
      </c>
      <c r="D81" s="319" t="str">
        <f>D80</f>
        <v>договор</v>
      </c>
      <c r="E81" s="319">
        <f>патриотика!D208</f>
        <v>0.40200000000000002</v>
      </c>
    </row>
    <row r="82" spans="1:5" ht="15" customHeight="1" x14ac:dyDescent="0.25">
      <c r="A82" s="665"/>
      <c r="B82" s="663"/>
      <c r="C82" s="149" t="str">
        <f>патриотика!A209</f>
        <v>Покраска крышки багажника</v>
      </c>
      <c r="D82" s="319" t="str">
        <f>D80</f>
        <v>договор</v>
      </c>
      <c r="E82" s="319">
        <f>патриотика!D209</f>
        <v>0.40200000000000002</v>
      </c>
    </row>
    <row r="83" spans="1:5" ht="15" customHeight="1" x14ac:dyDescent="0.25">
      <c r="A83" s="665"/>
      <c r="B83" s="663"/>
      <c r="C83" s="149" t="str">
        <f>патриотика!A210</f>
        <v>Полировка стекол со снятием</v>
      </c>
      <c r="D83" s="319" t="str">
        <f>D80</f>
        <v>договор</v>
      </c>
      <c r="E83" s="319">
        <f>патриотика!D210</f>
        <v>0.40200000000000002</v>
      </c>
    </row>
    <row r="84" spans="1:5" ht="15" customHeight="1" x14ac:dyDescent="0.25">
      <c r="A84" s="665"/>
      <c r="B84" s="663"/>
      <c r="C84" s="149" t="str">
        <f>патриотика!A211</f>
        <v>Слесарные работы по восстановлению сидений</v>
      </c>
      <c r="D84" s="319" t="str">
        <f>D80</f>
        <v>договор</v>
      </c>
      <c r="E84" s="319">
        <f>патриотика!D211</f>
        <v>0.40200000000000002</v>
      </c>
    </row>
    <row r="85" spans="1:5" ht="15" customHeight="1" x14ac:dyDescent="0.25">
      <c r="A85" s="665"/>
      <c r="B85" s="663"/>
      <c r="C85" s="149" t="str">
        <f>патриотика!A212</f>
        <v>Ремонт электрогитары</v>
      </c>
      <c r="D85" s="319" t="str">
        <f>D80</f>
        <v>договор</v>
      </c>
      <c r="E85" s="319">
        <f>патриотика!D212</f>
        <v>0.40200000000000002</v>
      </c>
    </row>
    <row r="86" spans="1:5" ht="15" customHeight="1" x14ac:dyDescent="0.25">
      <c r="A86" s="665"/>
      <c r="B86" s="663"/>
      <c r="C86" s="149" t="str">
        <f>патриотика!A213</f>
        <v>Ремонт акустической системы</v>
      </c>
      <c r="D86" s="319" t="str">
        <f>D80</f>
        <v>договор</v>
      </c>
      <c r="E86" s="319">
        <f>патриотика!D213</f>
        <v>0.40200000000000002</v>
      </c>
    </row>
    <row r="87" spans="1:5" ht="15" customHeight="1" x14ac:dyDescent="0.25">
      <c r="A87" s="665"/>
      <c r="B87" s="663"/>
      <c r="C87" s="149" t="str">
        <f>патриотика!A214</f>
        <v>Ремонт микшера (USB канал)</v>
      </c>
      <c r="D87" s="319" t="str">
        <f>патриотика!B225</f>
        <v>договор</v>
      </c>
      <c r="E87" s="319">
        <f>патриотика!D214</f>
        <v>0.40200000000000002</v>
      </c>
    </row>
    <row r="88" spans="1:5" ht="15" customHeight="1" x14ac:dyDescent="0.25">
      <c r="A88" s="665"/>
      <c r="B88" s="663"/>
      <c r="C88" s="149" t="str">
        <f>патриотика!A215</f>
        <v>Ремонт комбо басовый</v>
      </c>
      <c r="D88" s="319" t="str">
        <f>патриотика!B227</f>
        <v>договор</v>
      </c>
      <c r="E88" s="319">
        <f>патриотика!D215</f>
        <v>0.40200000000000002</v>
      </c>
    </row>
    <row r="89" spans="1:5" ht="15" customHeight="1" x14ac:dyDescent="0.25">
      <c r="A89" s="665"/>
      <c r="B89" s="663"/>
      <c r="C89" s="149" t="str">
        <f>патриотика!A216</f>
        <v>Ремонт Гитарного комбоусителя</v>
      </c>
      <c r="D89" s="319" t="str">
        <f>патриотика!B229</f>
        <v>договор</v>
      </c>
      <c r="E89" s="319">
        <f>патриотика!D216</f>
        <v>0.40200000000000002</v>
      </c>
    </row>
    <row r="90" spans="1:5" ht="15" customHeight="1" x14ac:dyDescent="0.25">
      <c r="A90" s="665"/>
      <c r="B90" s="663"/>
      <c r="C90" s="149" t="str">
        <f>патриотика!A217</f>
        <v>Ремонт аккустической системы</v>
      </c>
      <c r="D90" s="319" t="str">
        <f>патриотика!B230</f>
        <v>договор</v>
      </c>
      <c r="E90" s="319">
        <f>патриотика!D217</f>
        <v>0.40200000000000002</v>
      </c>
    </row>
    <row r="91" spans="1:5" ht="15" customHeight="1" x14ac:dyDescent="0.25">
      <c r="A91" s="665"/>
      <c r="B91" s="663"/>
      <c r="C91" s="149" t="str">
        <f>патриотика!A218</f>
        <v>Ремонт микшера (сгоревшие каналы)</v>
      </c>
      <c r="D91" s="319" t="str">
        <f>патриотика!B231</f>
        <v>договор</v>
      </c>
      <c r="E91" s="319">
        <f>патриотика!D218</f>
        <v>0.40200000000000002</v>
      </c>
    </row>
    <row r="92" spans="1:5" ht="12" customHeight="1" x14ac:dyDescent="0.25">
      <c r="A92" s="665"/>
      <c r="B92" s="663"/>
      <c r="C92" s="669" t="s">
        <v>150</v>
      </c>
      <c r="D92" s="670"/>
      <c r="E92" s="671"/>
    </row>
    <row r="93" spans="1:5" ht="14.45" customHeight="1" x14ac:dyDescent="0.25">
      <c r="A93" s="665"/>
      <c r="B93" s="663"/>
      <c r="C93" s="150" t="str">
        <f>'инновации+добровольчество'!A148</f>
        <v>Договор ВЗ (связь по краю)</v>
      </c>
      <c r="D93" s="108" t="s">
        <v>95</v>
      </c>
      <c r="E93" s="282">
        <f>патриотика!D165</f>
        <v>0.40200000000000002</v>
      </c>
    </row>
    <row r="94" spans="1:5" ht="12" customHeight="1" x14ac:dyDescent="0.25">
      <c r="A94" s="665"/>
      <c r="B94" s="663"/>
      <c r="C94" s="150" t="str">
        <f>'инновации+добровольчество'!A149</f>
        <v>Абоненская плата за услуги связи, номеров</v>
      </c>
      <c r="D94" s="108" t="s">
        <v>22</v>
      </c>
      <c r="E94" s="282">
        <f>патриотика!D166</f>
        <v>0.40200000000000002</v>
      </c>
    </row>
    <row r="95" spans="1:5" ht="12" customHeight="1" x14ac:dyDescent="0.25">
      <c r="A95" s="665"/>
      <c r="B95" s="663"/>
      <c r="C95" s="150" t="str">
        <f>'инновации+добровольчество'!A150</f>
        <v>Абоненская плата за услуги Интернет кайтнет</v>
      </c>
      <c r="D95" s="108" t="s">
        <v>37</v>
      </c>
      <c r="E95" s="282">
        <f>патриотика!D167</f>
        <v>0.40200000000000002</v>
      </c>
    </row>
    <row r="96" spans="1:5" ht="12" customHeight="1" x14ac:dyDescent="0.25">
      <c r="A96" s="665"/>
      <c r="B96" s="663"/>
      <c r="C96" s="150" t="str">
        <f>'инновации+добровольчество'!A151</f>
        <v>Абоненская плата за услуги Интернет ИП Крамаренко:</v>
      </c>
      <c r="D96" s="108" t="s">
        <v>37</v>
      </c>
      <c r="E96" s="282">
        <f>патриотика!D168</f>
        <v>0.40200000000000002</v>
      </c>
    </row>
    <row r="97" spans="1:5" ht="12" customHeight="1" x14ac:dyDescent="0.25">
      <c r="A97" s="665"/>
      <c r="B97" s="663"/>
      <c r="C97" s="150" t="str">
        <f>'инновации+добровольчество'!A152</f>
        <v>Тариф Бизнес начальный</v>
      </c>
      <c r="D97" s="108" t="s">
        <v>38</v>
      </c>
      <c r="E97" s="282">
        <f>патриотика!D169</f>
        <v>0.40200000000000002</v>
      </c>
    </row>
    <row r="98" spans="1:5" ht="12" customHeight="1" x14ac:dyDescent="0.25">
      <c r="A98" s="665"/>
      <c r="B98" s="663"/>
      <c r="C98" s="150" t="str">
        <f>'инновации+добровольчество'!A153</f>
        <v>Тариф Бизнес</v>
      </c>
      <c r="D98" s="108" t="s">
        <v>38</v>
      </c>
      <c r="E98" s="282">
        <f>патриотика!D170</f>
        <v>0.40200000000000002</v>
      </c>
    </row>
    <row r="99" spans="1:5" ht="12" customHeight="1" x14ac:dyDescent="0.25">
      <c r="A99" s="665"/>
      <c r="B99" s="663"/>
      <c r="C99" s="150" t="str">
        <f>'инновации+добровольчество'!A154</f>
        <v>Почтовые услуги</v>
      </c>
      <c r="D99" s="108" t="s">
        <v>22</v>
      </c>
      <c r="E99" s="282">
        <f>патриотика!D171</f>
        <v>0.40200000000000002</v>
      </c>
    </row>
    <row r="100" spans="1:5" ht="12" customHeight="1" x14ac:dyDescent="0.25">
      <c r="A100" s="665"/>
      <c r="B100" s="663"/>
      <c r="C100" s="675" t="s">
        <v>151</v>
      </c>
      <c r="D100" s="676"/>
      <c r="E100" s="677"/>
    </row>
    <row r="101" spans="1:5" ht="21" customHeight="1" x14ac:dyDescent="0.25">
      <c r="A101" s="665"/>
      <c r="B101" s="663"/>
      <c r="C101" s="117" t="str">
        <f>'натур показатели инновации+добр'!C84</f>
        <v>Заведующий МЦ</v>
      </c>
      <c r="D101" s="151" t="s">
        <v>155</v>
      </c>
      <c r="E101" s="258">
        <f>патриотика!E96</f>
        <v>0.40200000000000002</v>
      </c>
    </row>
    <row r="102" spans="1:5" ht="12" customHeight="1" x14ac:dyDescent="0.25">
      <c r="A102" s="665"/>
      <c r="B102" s="663"/>
      <c r="C102" s="129" t="s">
        <v>153</v>
      </c>
      <c r="D102" s="151" t="s">
        <v>146</v>
      </c>
      <c r="E102" s="258">
        <f>патриотика!E97</f>
        <v>0.40200000000000002</v>
      </c>
    </row>
    <row r="103" spans="1:5" ht="12" customHeight="1" x14ac:dyDescent="0.25">
      <c r="A103" s="665"/>
      <c r="B103" s="663"/>
      <c r="C103" s="129" t="s">
        <v>96</v>
      </c>
      <c r="D103" s="151" t="s">
        <v>146</v>
      </c>
      <c r="E103" s="258">
        <f>патриотика!E98</f>
        <v>0.20100000000000001</v>
      </c>
    </row>
    <row r="104" spans="1:5" ht="12" customHeight="1" x14ac:dyDescent="0.25">
      <c r="A104" s="665"/>
      <c r="B104" s="663"/>
      <c r="C104" s="129" t="s">
        <v>154</v>
      </c>
      <c r="D104" s="151" t="s">
        <v>146</v>
      </c>
      <c r="E104" s="258">
        <f>патриотика!E99</f>
        <v>0.40200000000000002</v>
      </c>
    </row>
    <row r="105" spans="1:5" ht="12" customHeight="1" x14ac:dyDescent="0.25">
      <c r="A105" s="665"/>
      <c r="B105" s="663"/>
      <c r="C105" s="507" t="s">
        <v>158</v>
      </c>
      <c r="D105" s="508"/>
      <c r="E105" s="509"/>
    </row>
    <row r="106" spans="1:5" ht="28.15" customHeight="1" x14ac:dyDescent="0.25">
      <c r="A106" s="665"/>
      <c r="B106" s="663"/>
      <c r="C106" s="131" t="str">
        <f>'инновации+добровольчество'!A114</f>
        <v>Пособие по уходу за ребенком до 3-х лет</v>
      </c>
      <c r="D106" s="132" t="s">
        <v>134</v>
      </c>
      <c r="E106" s="283">
        <f>E101</f>
        <v>0.40200000000000002</v>
      </c>
    </row>
    <row r="107" spans="1:5" ht="28.15" customHeight="1" x14ac:dyDescent="0.25">
      <c r="A107" s="665"/>
      <c r="B107" s="663"/>
      <c r="C107" s="131" t="str">
        <f>'инновации+добровольчество'!A115</f>
        <v>выплата пособия на период трудоустройства (Остропицкая)</v>
      </c>
      <c r="D107" s="132" t="s">
        <v>134</v>
      </c>
      <c r="E107" s="283">
        <f t="shared" ref="E107:E109" si="0">E102</f>
        <v>0.40200000000000002</v>
      </c>
    </row>
    <row r="108" spans="1:5" ht="28.15" customHeight="1" x14ac:dyDescent="0.25">
      <c r="A108" s="665"/>
      <c r="B108" s="663"/>
      <c r="C108" s="131" t="str">
        <f>'инновации+добровольчество'!A116</f>
        <v>выплата пособия на период трудоустройства (Королёва)</v>
      </c>
      <c r="D108" s="132" t="s">
        <v>134</v>
      </c>
      <c r="E108" s="283">
        <v>0.40200000000000002</v>
      </c>
    </row>
    <row r="109" spans="1:5" ht="28.15" customHeight="1" x14ac:dyDescent="0.25">
      <c r="A109" s="665"/>
      <c r="B109" s="663"/>
      <c r="C109" s="131" t="str">
        <f>'инновации+добровольчество'!A117</f>
        <v>выплата пособия на период трудоустройства (Ахмерова)</v>
      </c>
      <c r="D109" s="132" t="s">
        <v>134</v>
      </c>
      <c r="E109" s="283">
        <f t="shared" si="0"/>
        <v>0.40200000000000002</v>
      </c>
    </row>
    <row r="110" spans="1:5" ht="25.9" customHeight="1" x14ac:dyDescent="0.25">
      <c r="A110" s="665"/>
      <c r="B110" s="663"/>
      <c r="C110" s="675" t="s">
        <v>159</v>
      </c>
      <c r="D110" s="676"/>
      <c r="E110" s="677"/>
    </row>
    <row r="111" spans="1:5" ht="40.15" customHeight="1" x14ac:dyDescent="0.25">
      <c r="A111" s="665"/>
      <c r="B111" s="663"/>
      <c r="C111" s="130" t="s">
        <v>287</v>
      </c>
      <c r="D111" s="108" t="s">
        <v>39</v>
      </c>
      <c r="E111" s="280">
        <f>патриотика!E155</f>
        <v>0.40200000000000002</v>
      </c>
    </row>
    <row r="112" spans="1:5" ht="25.9" customHeight="1" x14ac:dyDescent="0.25">
      <c r="A112" s="665"/>
      <c r="B112" s="663"/>
      <c r="C112" s="130" t="s">
        <v>288</v>
      </c>
      <c r="D112" s="108" t="s">
        <v>39</v>
      </c>
      <c r="E112" s="280">
        <f>патриотика!E156</f>
        <v>0.40200000000000002</v>
      </c>
    </row>
    <row r="113" spans="1:5" ht="24" customHeight="1" x14ac:dyDescent="0.25">
      <c r="A113" s="665"/>
      <c r="B113" s="663"/>
      <c r="C113" s="130" t="s">
        <v>289</v>
      </c>
      <c r="D113" s="108" t="s">
        <v>39</v>
      </c>
      <c r="E113" s="280">
        <f>патриотика!E157</f>
        <v>0.40200000000000002</v>
      </c>
    </row>
    <row r="114" spans="1:5" ht="21" customHeight="1" x14ac:dyDescent="0.25">
      <c r="A114" s="665"/>
      <c r="B114" s="663"/>
      <c r="C114" s="510" t="s">
        <v>160</v>
      </c>
      <c r="D114" s="511"/>
      <c r="E114" s="512"/>
    </row>
    <row r="115" spans="1:5" ht="18.600000000000001" customHeight="1" x14ac:dyDescent="0.25">
      <c r="A115" s="665"/>
      <c r="B115" s="663"/>
      <c r="C115" s="133" t="str">
        <f>'инновации+добровольчество'!A162</f>
        <v>Провоз груза 2000 кг (1 кг=9,50 руб)</v>
      </c>
      <c r="D115" s="134" t="s">
        <v>22</v>
      </c>
      <c r="E115" s="88">
        <f>патриотика!D179</f>
        <v>0.40200000000000002</v>
      </c>
    </row>
    <row r="116" spans="1:5" ht="12" customHeight="1" x14ac:dyDescent="0.25">
      <c r="A116" s="665"/>
      <c r="B116" s="663"/>
      <c r="C116" s="669" t="s">
        <v>161</v>
      </c>
      <c r="D116" s="670"/>
      <c r="E116" s="671"/>
    </row>
    <row r="117" spans="1:5" ht="14.45" customHeight="1" x14ac:dyDescent="0.25">
      <c r="A117" s="665"/>
      <c r="B117" s="663"/>
      <c r="C117" s="120" t="str">
        <f>'натур показатели инновации+добр'!C101</f>
        <v>Обучение персонала и тепловые сети</v>
      </c>
      <c r="D117" s="69" t="str">
        <f>'натур показатели инновации+добр'!D101</f>
        <v>договор</v>
      </c>
      <c r="E117" s="181">
        <f>патриотика!D225</f>
        <v>0.80400000000000005</v>
      </c>
    </row>
    <row r="118" spans="1:5" ht="14.45" customHeight="1" x14ac:dyDescent="0.25">
      <c r="A118" s="665"/>
      <c r="B118" s="663"/>
      <c r="C118" s="120" t="str">
        <f>'натур показатели инновации+добр'!C102</f>
        <v>обучение персонала</v>
      </c>
      <c r="D118" s="69" t="str">
        <f>'натур показатели инновации+добр'!D102</f>
        <v>дог</v>
      </c>
      <c r="E118" s="181">
        <f>патриотика!D226</f>
        <v>0.40200000000000002</v>
      </c>
    </row>
    <row r="119" spans="1:5" ht="15" customHeight="1" x14ac:dyDescent="0.25">
      <c r="A119" s="665"/>
      <c r="B119" s="663"/>
      <c r="C119" s="120" t="str">
        <f>'натур показатели инновации+добр'!C103</f>
        <v>Услуги СЕМИС подписка</v>
      </c>
      <c r="D119" s="69" t="str">
        <f>'натур показатели инновации+добр'!D103</f>
        <v>договор</v>
      </c>
      <c r="E119" s="181">
        <f>патриотика!D227</f>
        <v>0.40200000000000002</v>
      </c>
    </row>
    <row r="120" spans="1:5" ht="25.15" customHeight="1" x14ac:dyDescent="0.25">
      <c r="A120" s="665"/>
      <c r="B120" s="663"/>
      <c r="C120" s="120" t="str">
        <f>'натур показатели инновации+добр'!C104</f>
        <v>изготовление плакетки, печать дипломов, изготовление значков</v>
      </c>
      <c r="D120" s="69" t="str">
        <f>'натур показатели инновации+добр'!D104</f>
        <v>договор</v>
      </c>
      <c r="E120" s="181">
        <f>патриотика!D228</f>
        <v>0.40200000000000002</v>
      </c>
    </row>
    <row r="121" spans="1:5" ht="12" customHeight="1" x14ac:dyDescent="0.25">
      <c r="A121" s="665"/>
      <c r="B121" s="663"/>
      <c r="C121" s="120" t="str">
        <f>'натур показатели инновации+добр'!C105</f>
        <v xml:space="preserve">Обслуживание систем пожарной сигнализации  </v>
      </c>
      <c r="D121" s="69" t="str">
        <f>'натур показатели инновации+добр'!D105</f>
        <v>договор</v>
      </c>
      <c r="E121" s="181">
        <f>патриотика!D229</f>
        <v>0.40200000000000002</v>
      </c>
    </row>
    <row r="122" spans="1:5" ht="12" customHeight="1" x14ac:dyDescent="0.25">
      <c r="A122" s="665"/>
      <c r="B122" s="663"/>
      <c r="C122" s="120" t="str">
        <f>'натур показатели инновации+добр'!C106</f>
        <v xml:space="preserve">Обслуживание систем видеонаблюдения </v>
      </c>
      <c r="D122" s="69" t="str">
        <f>'натур показатели инновации+добр'!D106</f>
        <v>договор</v>
      </c>
      <c r="E122" s="181">
        <f>патриотика!D230</f>
        <v>4.8239999999999998</v>
      </c>
    </row>
    <row r="123" spans="1:5" ht="12" customHeight="1" x14ac:dyDescent="0.25">
      <c r="A123" s="665"/>
      <c r="B123" s="663"/>
      <c r="C123" s="120" t="str">
        <f>'натур показатели инновации+добр'!C107</f>
        <v>Предрейсовое медицинское обследование 247дней*90руб</v>
      </c>
      <c r="D123" s="69" t="str">
        <f>'натур показатели инновации+добр'!D107</f>
        <v>договор</v>
      </c>
      <c r="E123" s="181">
        <f>патриотика!D231</f>
        <v>0.40200000000000002</v>
      </c>
    </row>
    <row r="124" spans="1:5" ht="12" customHeight="1" x14ac:dyDescent="0.25">
      <c r="A124" s="665"/>
      <c r="B124" s="663"/>
      <c r="C124" s="120" t="str">
        <f>'натур показатели инновации+добр'!C108</f>
        <v xml:space="preserve">Услуги охраны  </v>
      </c>
      <c r="D124" s="69" t="str">
        <f>'натур показатели инновации+добр'!D108</f>
        <v>договор</v>
      </c>
      <c r="E124" s="181">
        <f>патриотика!D232</f>
        <v>4.8239999999999998</v>
      </c>
    </row>
    <row r="125" spans="1:5" ht="12" customHeight="1" x14ac:dyDescent="0.25">
      <c r="A125" s="665"/>
      <c r="B125" s="663"/>
      <c r="C125" s="120" t="str">
        <f>'натур показатели инновации+добр'!C109</f>
        <v>Обслуживание систем охранных средств сигнализации (тревожная кнопка)</v>
      </c>
      <c r="D125" s="69" t="str">
        <f>'натур показатели инновации+добр'!D109</f>
        <v>договор</v>
      </c>
      <c r="E125" s="181">
        <f>патриотика!D233</f>
        <v>4.8239999999999998</v>
      </c>
    </row>
    <row r="126" spans="1:5" ht="22.15" customHeight="1" x14ac:dyDescent="0.25">
      <c r="A126" s="665"/>
      <c r="B126" s="663"/>
      <c r="C126" s="120" t="str">
        <f>'натур показатели инновации+добр'!C110</f>
        <v>Организация светового сопровождения мероприятия</v>
      </c>
      <c r="D126" s="69" t="str">
        <f>'натур показатели инновации+добр'!D110</f>
        <v>договор</v>
      </c>
      <c r="E126" s="181">
        <f>патриотика!D234</f>
        <v>0.40200000000000002</v>
      </c>
    </row>
    <row r="127" spans="1:5" ht="12" customHeight="1" x14ac:dyDescent="0.25">
      <c r="A127" s="665"/>
      <c r="B127" s="663"/>
      <c r="C127" s="120" t="str">
        <f>'натур показатели инновации+добр'!C111</f>
        <v xml:space="preserve">прохождение мед осмотра при устройстве на работу </v>
      </c>
      <c r="D127" s="69" t="str">
        <f>'натур показатели инновации+добр'!D111</f>
        <v>договор</v>
      </c>
      <c r="E127" s="181">
        <f>патриотика!D235</f>
        <v>1.6080000000000001</v>
      </c>
    </row>
    <row r="128" spans="1:5" ht="22.15" customHeight="1" x14ac:dyDescent="0.25">
      <c r="A128" s="665"/>
      <c r="B128" s="663"/>
      <c r="C128" s="120" t="str">
        <f>'натур показатели инновации+добр'!C112</f>
        <v>Прохождение предварительного мед осмотра</v>
      </c>
      <c r="D128" s="69" t="str">
        <f>'натур показатели инновации+добр'!D112</f>
        <v>договор</v>
      </c>
      <c r="E128" s="181">
        <f>патриотика!D236</f>
        <v>0.40200000000000002</v>
      </c>
    </row>
    <row r="129" spans="1:5" ht="15.75" customHeight="1" x14ac:dyDescent="0.25">
      <c r="A129" s="665"/>
      <c r="B129" s="663"/>
      <c r="C129" s="120" t="str">
        <f>'натур показатели инновации+добр'!C113</f>
        <v>Организация питания воинов-интернационалистов</v>
      </c>
      <c r="D129" s="69" t="str">
        <f>'натур показатели инновации+добр'!D113</f>
        <v>договор</v>
      </c>
      <c r="E129" s="181">
        <f>патриотика!D237</f>
        <v>0.40200000000000002</v>
      </c>
    </row>
    <row r="130" spans="1:5" ht="13.5" customHeight="1" x14ac:dyDescent="0.25">
      <c r="A130" s="665"/>
      <c r="B130" s="663"/>
      <c r="C130" s="120" t="str">
        <f>'натур показатели инновации+добр'!C114</f>
        <v>Мед осмотр водителя</v>
      </c>
      <c r="D130" s="69" t="str">
        <f>'натур показатели инновации+добр'!D114</f>
        <v>договор</v>
      </c>
      <c r="E130" s="181">
        <f>патриотика!D238</f>
        <v>0.40200000000000002</v>
      </c>
    </row>
    <row r="131" spans="1:5" ht="12" customHeight="1" x14ac:dyDescent="0.25">
      <c r="A131" s="665"/>
      <c r="B131" s="663"/>
      <c r="C131" s="120" t="str">
        <f>'натур показатели инновации+добр'!C115</f>
        <v>Страховая премия по полису ОСАГО за УАЗ</v>
      </c>
      <c r="D131" s="69" t="str">
        <f>'натур показатели инновации+добр'!D115</f>
        <v>договор</v>
      </c>
      <c r="E131" s="181">
        <f>патриотика!D239</f>
        <v>0.40200000000000002</v>
      </c>
    </row>
    <row r="132" spans="1:5" ht="12" customHeight="1" x14ac:dyDescent="0.25">
      <c r="A132" s="665"/>
      <c r="B132" s="663"/>
      <c r="C132" s="120" t="str">
        <f>'натур показатели инновации+добр'!C116</f>
        <v>Microsoft Windows</v>
      </c>
      <c r="D132" s="69" t="str">
        <f>'натур показатели инновации+добр'!D116</f>
        <v>договор</v>
      </c>
      <c r="E132" s="181">
        <f>патриотика!D240</f>
        <v>2.8140000000000001</v>
      </c>
    </row>
    <row r="133" spans="1:5" ht="12" customHeight="1" x14ac:dyDescent="0.25">
      <c r="A133" s="665"/>
      <c r="B133" s="663"/>
      <c r="C133" s="120" t="str">
        <f>'натур показатели инновации+добр'!C117</f>
        <v>Microsoft Offise</v>
      </c>
      <c r="D133" s="69" t="str">
        <f>'натур показатели инновации+добр'!D117</f>
        <v>договор</v>
      </c>
      <c r="E133" s="181">
        <f>патриотика!D241</f>
        <v>0.80400000000000005</v>
      </c>
    </row>
    <row r="134" spans="1:5" ht="12" customHeight="1" x14ac:dyDescent="0.25">
      <c r="A134" s="665"/>
      <c r="B134" s="663"/>
      <c r="C134" s="120" t="str">
        <f>'натур показатели инновации+добр'!C118</f>
        <v>Dr Web Security</v>
      </c>
      <c r="D134" s="69" t="str">
        <f>'натур показатели инновации+добр'!D118</f>
        <v>договор</v>
      </c>
      <c r="E134" s="181">
        <f>патриотика!D242</f>
        <v>0.40200000000000002</v>
      </c>
    </row>
    <row r="135" spans="1:5" ht="12" customHeight="1" x14ac:dyDescent="0.25">
      <c r="A135" s="665"/>
      <c r="B135" s="663"/>
      <c r="C135" s="120" t="str">
        <f>'натур показатели инновации+добр'!C119</f>
        <v>Dr Web Security Spase</v>
      </c>
      <c r="D135" s="69" t="str">
        <f>'натур показатели инновации+добр'!D119</f>
        <v>договор</v>
      </c>
      <c r="E135" s="181">
        <f>патриотика!D243</f>
        <v>0.40200000000000002</v>
      </c>
    </row>
    <row r="136" spans="1:5" ht="12" customHeight="1" x14ac:dyDescent="0.25">
      <c r="A136" s="665"/>
      <c r="B136" s="663"/>
      <c r="C136" s="120" t="str">
        <f>'натур показатели инновации+добр'!C120</f>
        <v>Оплата гос пошлины</v>
      </c>
      <c r="D136" s="69" t="str">
        <f>'натур показатели инновации+добр'!D120</f>
        <v>ед</v>
      </c>
      <c r="E136" s="181">
        <f>патриотика!D244</f>
        <v>0.40200000000000002</v>
      </c>
    </row>
    <row r="137" spans="1:5" ht="12" customHeight="1" x14ac:dyDescent="0.25">
      <c r="A137" s="665"/>
      <c r="B137" s="663"/>
      <c r="C137" s="120" t="str">
        <f>'натур показатели инновации+добр'!C121</f>
        <v xml:space="preserve">Оплата за негативное воздействие </v>
      </c>
      <c r="D137" s="69" t="str">
        <f>'натур показатели инновации+добр'!D121</f>
        <v>ед</v>
      </c>
      <c r="E137" s="181">
        <f>патриотика!D245</f>
        <v>0.40200000000000002</v>
      </c>
    </row>
    <row r="138" spans="1:5" ht="12" customHeight="1" x14ac:dyDescent="0.25">
      <c r="A138" s="665"/>
      <c r="B138" s="663"/>
      <c r="C138" s="120" t="str">
        <f>'натур показатели инновации+добр'!C122</f>
        <v>ПУГНП</v>
      </c>
      <c r="D138" s="69" t="str">
        <f>'натур показатели инновации+добр'!D122</f>
        <v>шт</v>
      </c>
      <c r="E138" s="181">
        <f>патриотика!D246</f>
        <v>20.100000000000001</v>
      </c>
    </row>
    <row r="139" spans="1:5" ht="12" customHeight="1" x14ac:dyDescent="0.25">
      <c r="A139" s="665"/>
      <c r="B139" s="663"/>
      <c r="C139" s="120" t="str">
        <f>'натур показатели инновации+добр'!C123</f>
        <v>пакет майка</v>
      </c>
      <c r="D139" s="69" t="str">
        <f>'натур показатели инновации+добр'!D123</f>
        <v>шт</v>
      </c>
      <c r="E139" s="181">
        <f>патриотика!D247</f>
        <v>0.40200000000000002</v>
      </c>
    </row>
    <row r="140" spans="1:5" ht="12" customHeight="1" x14ac:dyDescent="0.25">
      <c r="A140" s="665"/>
      <c r="B140" s="663"/>
      <c r="C140" s="120" t="str">
        <f>'натур показатели инновации+добр'!C124</f>
        <v>розетка</v>
      </c>
      <c r="D140" s="69" t="str">
        <f>'натур показатели инновации+добр'!D124</f>
        <v>шт</v>
      </c>
      <c r="E140" s="181">
        <f>патриотика!D248</f>
        <v>2.0100000000000002</v>
      </c>
    </row>
    <row r="141" spans="1:5" ht="12" customHeight="1" x14ac:dyDescent="0.25">
      <c r="A141" s="665"/>
      <c r="B141" s="663"/>
      <c r="C141" s="120" t="str">
        <f>'натур показатели инновации+добр'!C125</f>
        <v>Вилка евро</v>
      </c>
      <c r="D141" s="69" t="str">
        <f>'натур показатели инновации+добр'!D125</f>
        <v>шт</v>
      </c>
      <c r="E141" s="181">
        <f>патриотика!D249</f>
        <v>2.0100000000000002</v>
      </c>
    </row>
    <row r="142" spans="1:5" ht="12" customHeight="1" x14ac:dyDescent="0.25">
      <c r="A142" s="665"/>
      <c r="B142" s="663"/>
      <c r="C142" s="120" t="str">
        <f>'натур показатели инновации+добр'!C126</f>
        <v>розетка "Пралеска"</v>
      </c>
      <c r="D142" s="69" t="str">
        <f>'натур показатели инновации+добр'!D126</f>
        <v>шт</v>
      </c>
      <c r="E142" s="181">
        <f>патриотика!D250</f>
        <v>1.206</v>
      </c>
    </row>
    <row r="143" spans="1:5" ht="12" customHeight="1" x14ac:dyDescent="0.25">
      <c r="A143" s="665"/>
      <c r="B143" s="663"/>
      <c r="C143" s="120" t="str">
        <f>'натур показатели инновации+добр'!C127</f>
        <v>лампа "Онлайт"</v>
      </c>
      <c r="D143" s="69" t="str">
        <f>'натур показатели инновации+добр'!D127</f>
        <v>шт</v>
      </c>
      <c r="E143" s="181">
        <f>патриотика!D251</f>
        <v>10.452</v>
      </c>
    </row>
    <row r="144" spans="1:5" ht="12" customHeight="1" x14ac:dyDescent="0.25">
      <c r="A144" s="665"/>
      <c r="B144" s="663"/>
      <c r="C144" s="120" t="str">
        <f>'натур показатели инновации+добр'!C128</f>
        <v>пугнп</v>
      </c>
      <c r="D144" s="69" t="str">
        <f>'натур показатели инновации+добр'!D128</f>
        <v>шт</v>
      </c>
      <c r="E144" s="181">
        <f>патриотика!D252</f>
        <v>2.8140000000000001</v>
      </c>
    </row>
    <row r="145" spans="1:5" ht="12" customHeight="1" x14ac:dyDescent="0.25">
      <c r="A145" s="665"/>
      <c r="B145" s="663"/>
      <c r="C145" s="120" t="str">
        <f>'натур показатели инновации+добр'!C129</f>
        <v>светильник точечный</v>
      </c>
      <c r="D145" s="69" t="str">
        <f>'натур показатели инновации+добр'!D129</f>
        <v>шт</v>
      </c>
      <c r="E145" s="181">
        <f>патриотика!D253</f>
        <v>4.0200000000000005</v>
      </c>
    </row>
    <row r="146" spans="1:5" ht="12" customHeight="1" x14ac:dyDescent="0.25">
      <c r="A146" s="665"/>
      <c r="B146" s="663"/>
      <c r="C146" s="120" t="str">
        <f>'натур показатели инновации+добр'!C130</f>
        <v>светильник точечный</v>
      </c>
      <c r="D146" s="69" t="str">
        <f>'натур показатели инновации+добр'!D130</f>
        <v>шт</v>
      </c>
      <c r="E146" s="181">
        <f>патриотика!D254</f>
        <v>4.0200000000000005</v>
      </c>
    </row>
    <row r="147" spans="1:5" ht="12" customHeight="1" x14ac:dyDescent="0.25">
      <c r="A147" s="665"/>
      <c r="B147" s="663"/>
      <c r="C147" s="120" t="str">
        <f>'натур показатели инновации+добр'!C131</f>
        <v>светильник точечный</v>
      </c>
      <c r="D147" s="69" t="str">
        <f>'натур показатели инновации+добр'!D131</f>
        <v>шт</v>
      </c>
      <c r="E147" s="181">
        <f>патриотика!D255</f>
        <v>2.4119999999999999</v>
      </c>
    </row>
    <row r="148" spans="1:5" ht="12" customHeight="1" x14ac:dyDescent="0.25">
      <c r="A148" s="665"/>
      <c r="B148" s="663"/>
      <c r="C148" s="120" t="str">
        <f>'натур показатели инновации+добр'!C132</f>
        <v>эмаль аэрозоль</v>
      </c>
      <c r="D148" s="69" t="str">
        <f>'натур показатели инновации+добр'!D132</f>
        <v>шт</v>
      </c>
      <c r="E148" s="181">
        <f>патриотика!D256</f>
        <v>0.80400000000000005</v>
      </c>
    </row>
    <row r="149" spans="1:5" ht="12" customHeight="1" x14ac:dyDescent="0.25">
      <c r="A149" s="665"/>
      <c r="B149" s="663"/>
      <c r="C149" s="120" t="str">
        <f>'натур показатели инновации+добр'!C133</f>
        <v>пила сегментная</v>
      </c>
      <c r="D149" s="69" t="str">
        <f>'натур показатели инновации+добр'!D133</f>
        <v>шт</v>
      </c>
      <c r="E149" s="181">
        <f>патриотика!D257</f>
        <v>0.40200000000000002</v>
      </c>
    </row>
    <row r="150" spans="1:5" ht="12" customHeight="1" x14ac:dyDescent="0.25">
      <c r="A150" s="665"/>
      <c r="B150" s="663"/>
      <c r="C150" s="120" t="str">
        <f>'натур показатели инновации+добр'!C134</f>
        <v>комплект крепежей для батареи</v>
      </c>
      <c r="D150" s="69" t="str">
        <f>'натур показатели инновации+добр'!D134</f>
        <v>шт</v>
      </c>
      <c r="E150" s="181">
        <f>патриотика!D258</f>
        <v>1.206</v>
      </c>
    </row>
    <row r="151" spans="1:5" ht="12" customHeight="1" x14ac:dyDescent="0.25">
      <c r="A151" s="665"/>
      <c r="B151" s="663"/>
      <c r="C151" s="120" t="str">
        <f>'натур показатели инновации+добр'!C135</f>
        <v>набор для радиатора</v>
      </c>
      <c r="D151" s="69" t="str">
        <f>'натур показатели инновации+добр'!D135</f>
        <v>шт</v>
      </c>
      <c r="E151" s="181">
        <f>патриотика!D259</f>
        <v>1.206</v>
      </c>
    </row>
    <row r="152" spans="1:5" ht="12" customHeight="1" x14ac:dyDescent="0.25">
      <c r="A152" s="665"/>
      <c r="B152" s="663"/>
      <c r="C152" s="120" t="str">
        <f>'натур показатели инновации+добр'!C136</f>
        <v>лампа "Онлайт"</v>
      </c>
      <c r="D152" s="69" t="str">
        <f>'натур показатели инновации+добр'!D136</f>
        <v>шт</v>
      </c>
      <c r="E152" s="181">
        <f>патриотика!D260</f>
        <v>2.0100000000000002</v>
      </c>
    </row>
    <row r="153" spans="1:5" ht="12" customHeight="1" x14ac:dyDescent="0.25">
      <c r="A153" s="665"/>
      <c r="B153" s="663"/>
      <c r="C153" s="120" t="str">
        <f>'натур показатели инновации+добр'!C137</f>
        <v>Прожектор светодиодный</v>
      </c>
      <c r="D153" s="69" t="str">
        <f>'натур показатели инновации+добр'!D137</f>
        <v>шт</v>
      </c>
      <c r="E153" s="181">
        <f>патриотика!D261</f>
        <v>0.80400000000000005</v>
      </c>
    </row>
    <row r="154" spans="1:5" ht="12" customHeight="1" x14ac:dyDescent="0.25">
      <c r="A154" s="665"/>
      <c r="B154" s="663"/>
      <c r="C154" s="120" t="str">
        <f>'натур показатели инновации+добр'!C138</f>
        <v>скотч 48 мм</v>
      </c>
      <c r="D154" s="69" t="str">
        <f>'натур показатели инновации+добр'!D138</f>
        <v>шт</v>
      </c>
      <c r="E154" s="181">
        <f>патриотика!D262</f>
        <v>4.8239999999999998</v>
      </c>
    </row>
    <row r="155" spans="1:5" ht="12" customHeight="1" x14ac:dyDescent="0.25">
      <c r="A155" s="665"/>
      <c r="B155" s="663"/>
      <c r="C155" s="120" t="str">
        <f>'натур показатели инновации+добр'!C139</f>
        <v>скотч армированный</v>
      </c>
      <c r="D155" s="69" t="str">
        <f>'натур показатели инновации+добр'!D139</f>
        <v>шт</v>
      </c>
      <c r="E155" s="181">
        <f>патриотика!D263</f>
        <v>0.80400000000000005</v>
      </c>
    </row>
    <row r="156" spans="1:5" ht="12" customHeight="1" x14ac:dyDescent="0.25">
      <c r="A156" s="665"/>
      <c r="B156" s="663"/>
      <c r="C156" s="120" t="str">
        <f>'натур показатели инновации+добр'!C140</f>
        <v>эмаль аэрозоль металлик</v>
      </c>
      <c r="D156" s="69" t="str">
        <f>'натур показатели инновации+добр'!D140</f>
        <v>шт</v>
      </c>
      <c r="E156" s="181">
        <f>патриотика!D264</f>
        <v>0.40200000000000002</v>
      </c>
    </row>
    <row r="157" spans="1:5" ht="12" customHeight="1" x14ac:dyDescent="0.25">
      <c r="A157" s="665"/>
      <c r="B157" s="663"/>
      <c r="C157" s="120" t="str">
        <f>'натур показатели инновации+добр'!C141</f>
        <v>эмаль аэрозоль коричн</v>
      </c>
      <c r="D157" s="69" t="str">
        <f>'натур показатели инновации+добр'!D141</f>
        <v>шт</v>
      </c>
      <c r="E157" s="181">
        <f>патриотика!D265</f>
        <v>0.40200000000000002</v>
      </c>
    </row>
    <row r="158" spans="1:5" ht="12" customHeight="1" x14ac:dyDescent="0.25">
      <c r="A158" s="665"/>
      <c r="B158" s="663"/>
      <c r="C158" s="120" t="str">
        <f>'натур показатели инновации+добр'!C142</f>
        <v>эмаль разн цвет</v>
      </c>
      <c r="D158" s="69" t="str">
        <f>'натур показатели инновации+добр'!D142</f>
        <v>шт</v>
      </c>
      <c r="E158" s="181">
        <f>патриотика!D266</f>
        <v>1.6080000000000001</v>
      </c>
    </row>
    <row r="159" spans="1:5" ht="12" customHeight="1" x14ac:dyDescent="0.25">
      <c r="A159" s="665"/>
      <c r="B159" s="663"/>
      <c r="C159" s="120" t="str">
        <f>'натур показатели инновации+добр'!C143</f>
        <v>скоба</v>
      </c>
      <c r="D159" s="69" t="str">
        <f>'натур показатели инновации+добр'!D143</f>
        <v>шт</v>
      </c>
      <c r="E159" s="181">
        <f>патриотика!D267</f>
        <v>2.0100000000000002</v>
      </c>
    </row>
    <row r="160" spans="1:5" ht="12" customHeight="1" x14ac:dyDescent="0.25">
      <c r="A160" s="665"/>
      <c r="B160" s="663"/>
      <c r="C160" s="120" t="str">
        <f>'натур показатели инновации+добр'!C144</f>
        <v>стяжка для провода</v>
      </c>
      <c r="D160" s="69" t="str">
        <f>'натур показатели инновации+добр'!D144</f>
        <v>шт</v>
      </c>
      <c r="E160" s="181">
        <f>патриотика!D268</f>
        <v>0.80400000000000005</v>
      </c>
    </row>
    <row r="161" spans="1:5" ht="12" customHeight="1" x14ac:dyDescent="0.25">
      <c r="A161" s="665"/>
      <c r="B161" s="663"/>
      <c r="C161" s="120" t="str">
        <f>'натур показатели инновации+добр'!C145</f>
        <v>стяжка для провода</v>
      </c>
      <c r="D161" s="69" t="str">
        <f>'натур показатели инновации+добр'!D145</f>
        <v>шт</v>
      </c>
      <c r="E161" s="181">
        <f>патриотика!D269</f>
        <v>0.80400000000000005</v>
      </c>
    </row>
    <row r="162" spans="1:5" ht="12" customHeight="1" x14ac:dyDescent="0.25">
      <c r="A162" s="665"/>
      <c r="B162" s="663"/>
      <c r="C162" s="120" t="str">
        <f>'натур показатели инновации+добр'!C146</f>
        <v>дюбель</v>
      </c>
      <c r="D162" s="69" t="str">
        <f>'натур показатели инновации+добр'!D146</f>
        <v>шт</v>
      </c>
      <c r="E162" s="181">
        <f>патриотика!D270</f>
        <v>79.998000000000005</v>
      </c>
    </row>
    <row r="163" spans="1:5" ht="12" customHeight="1" x14ac:dyDescent="0.25">
      <c r="A163" s="665"/>
      <c r="B163" s="663"/>
      <c r="C163" s="120" t="str">
        <f>'натур показатели инновации+добр'!C147</f>
        <v>бокорезы</v>
      </c>
      <c r="D163" s="69" t="str">
        <f>'натур показатели инновации+добр'!D147</f>
        <v>шт</v>
      </c>
      <c r="E163" s="181">
        <f>патриотика!D271</f>
        <v>0.40200000000000002</v>
      </c>
    </row>
    <row r="164" spans="1:5" ht="12" customHeight="1" x14ac:dyDescent="0.25">
      <c r="A164" s="665"/>
      <c r="B164" s="663"/>
      <c r="C164" s="120" t="str">
        <f>'натур показатели инновации+добр'!C148</f>
        <v>плоскогубцы</v>
      </c>
      <c r="D164" s="69" t="str">
        <f>'натур показатели инновации+добр'!D148</f>
        <v>шт</v>
      </c>
      <c r="E164" s="181">
        <f>патриотика!D272</f>
        <v>0.40200000000000002</v>
      </c>
    </row>
    <row r="165" spans="1:5" ht="12" customHeight="1" x14ac:dyDescent="0.25">
      <c r="A165" s="665"/>
      <c r="B165" s="663"/>
      <c r="C165" s="120" t="str">
        <f>'натур показатели инновации+добр'!C149</f>
        <v>бита</v>
      </c>
      <c r="D165" s="69" t="str">
        <f>'натур показатели инновации+добр'!D149</f>
        <v>шт</v>
      </c>
      <c r="E165" s="181">
        <f>патриотика!D273</f>
        <v>0.40200000000000002</v>
      </c>
    </row>
    <row r="166" spans="1:5" ht="12" customHeight="1" x14ac:dyDescent="0.25">
      <c r="A166" s="665"/>
      <c r="B166" s="663"/>
      <c r="C166" s="120" t="str">
        <f>'натур показатели инновации+добр'!C150</f>
        <v>бита</v>
      </c>
      <c r="D166" s="69" t="str">
        <f>'натур показатели инновации+добр'!D150</f>
        <v>шт</v>
      </c>
      <c r="E166" s="181">
        <f>патриотика!D274</f>
        <v>0.40200000000000002</v>
      </c>
    </row>
    <row r="167" spans="1:5" ht="12" customHeight="1" x14ac:dyDescent="0.25">
      <c r="A167" s="665"/>
      <c r="B167" s="663"/>
      <c r="C167" s="120" t="str">
        <f>'натур показатели инновации+добр'!C151</f>
        <v>угольник</v>
      </c>
      <c r="D167" s="69" t="str">
        <f>'натур показатели инновации+добр'!D151</f>
        <v>шт</v>
      </c>
      <c r="E167" s="181">
        <f>патриотика!D275</f>
        <v>0.40200000000000002</v>
      </c>
    </row>
    <row r="168" spans="1:5" ht="12" customHeight="1" x14ac:dyDescent="0.25">
      <c r="A168" s="665"/>
      <c r="B168" s="663"/>
      <c r="C168" s="120" t="str">
        <f>'натур показатели инновации+добр'!C152</f>
        <v>угольник</v>
      </c>
      <c r="D168" s="69" t="str">
        <f>'натур показатели инновации+добр'!D152</f>
        <v>шт</v>
      </c>
      <c r="E168" s="181">
        <f>патриотика!D276</f>
        <v>0.40200000000000002</v>
      </c>
    </row>
    <row r="169" spans="1:5" ht="12" customHeight="1" x14ac:dyDescent="0.25">
      <c r="A169" s="665"/>
      <c r="B169" s="663"/>
      <c r="C169" s="120" t="str">
        <f>'натур показатели инновации+добр'!C153</f>
        <v>штангенциркуль</v>
      </c>
      <c r="D169" s="69" t="str">
        <f>'натур показатели инновации+добр'!D153</f>
        <v>шт</v>
      </c>
      <c r="E169" s="181">
        <f>патриотика!D277</f>
        <v>0.40200000000000002</v>
      </c>
    </row>
    <row r="170" spans="1:5" ht="12" customHeight="1" x14ac:dyDescent="0.25">
      <c r="A170" s="665"/>
      <c r="B170" s="663"/>
      <c r="C170" s="120" t="str">
        <f>'натур показатели инновации+добр'!C154</f>
        <v>пугнп 2*1,5</v>
      </c>
      <c r="D170" s="69" t="str">
        <f>'натур показатели инновации+добр'!D154</f>
        <v>шт</v>
      </c>
      <c r="E170" s="181">
        <f>патриотика!D278</f>
        <v>80.400000000000006</v>
      </c>
    </row>
    <row r="171" spans="1:5" ht="12" customHeight="1" x14ac:dyDescent="0.25">
      <c r="A171" s="665"/>
      <c r="B171" s="663"/>
      <c r="C171" s="120" t="str">
        <f>'натур показатели инновации+добр'!C155</f>
        <v>пугнп 2*2,5</v>
      </c>
      <c r="D171" s="69" t="str">
        <f>'натур показатели инновации+добр'!D155</f>
        <v>шт</v>
      </c>
      <c r="E171" s="181">
        <f>патриотика!D279</f>
        <v>80.400000000000006</v>
      </c>
    </row>
    <row r="172" spans="1:5" ht="12" customHeight="1" x14ac:dyDescent="0.25">
      <c r="A172" s="665"/>
      <c r="B172" s="663"/>
      <c r="C172" s="120" t="str">
        <f>'натур показатели инновации+добр'!C156</f>
        <v>зажимы</v>
      </c>
      <c r="D172" s="69" t="str">
        <f>'натур показатели инновации+добр'!D156</f>
        <v>шт</v>
      </c>
      <c r="E172" s="181">
        <f>патриотика!D280</f>
        <v>2.0100000000000002</v>
      </c>
    </row>
    <row r="173" spans="1:5" ht="12" customHeight="1" x14ac:dyDescent="0.25">
      <c r="A173" s="665"/>
      <c r="B173" s="663"/>
      <c r="C173" s="120" t="str">
        <f>'натур показатели инновации+добр'!C157</f>
        <v>коробка установочная</v>
      </c>
      <c r="D173" s="69" t="str">
        <f>'натур показатели инновации+добр'!D157</f>
        <v>шт</v>
      </c>
      <c r="E173" s="181">
        <f>патриотика!D281</f>
        <v>4.0200000000000005</v>
      </c>
    </row>
    <row r="174" spans="1:5" ht="12" customHeight="1" x14ac:dyDescent="0.25">
      <c r="A174" s="665"/>
      <c r="B174" s="663"/>
      <c r="C174" s="120" t="str">
        <f>'натур показатели инновации+добр'!C158</f>
        <v>розетка</v>
      </c>
      <c r="D174" s="69" t="str">
        <f>'натур показатели инновации+добр'!D158</f>
        <v>шт</v>
      </c>
      <c r="E174" s="181">
        <f>патриотика!D282</f>
        <v>4.0200000000000005</v>
      </c>
    </row>
    <row r="175" spans="1:5" ht="12" customHeight="1" x14ac:dyDescent="0.25">
      <c r="A175" s="665"/>
      <c r="B175" s="663"/>
      <c r="C175" s="120" t="str">
        <f>'натур показатели инновации+добр'!C159</f>
        <v>розетка</v>
      </c>
      <c r="D175" s="69" t="str">
        <f>'натур показатели инновации+добр'!D159</f>
        <v>шт</v>
      </c>
      <c r="E175" s="181">
        <f>патриотика!D283</f>
        <v>2.0100000000000002</v>
      </c>
    </row>
    <row r="176" spans="1:5" ht="12" customHeight="1" x14ac:dyDescent="0.25">
      <c r="A176" s="665"/>
      <c r="B176" s="663"/>
      <c r="C176" s="120" t="str">
        <f>'натур показатели инновации+добр'!C160</f>
        <v>вилка прямая</v>
      </c>
      <c r="D176" s="69" t="str">
        <f>'натур показатели инновации+добр'!D160</f>
        <v>шт</v>
      </c>
      <c r="E176" s="181">
        <f>патриотика!D284</f>
        <v>0.40200000000000002</v>
      </c>
    </row>
    <row r="177" spans="1:5" ht="12" customHeight="1" x14ac:dyDescent="0.25">
      <c r="A177" s="665"/>
      <c r="B177" s="663"/>
      <c r="C177" s="120" t="str">
        <f>'натур показатели инновации+добр'!C161</f>
        <v>вилка белая</v>
      </c>
      <c r="D177" s="69" t="str">
        <f>'натур показатели инновации+добр'!D161</f>
        <v>шт</v>
      </c>
      <c r="E177" s="181">
        <f>патриотика!D285</f>
        <v>1.6080000000000001</v>
      </c>
    </row>
    <row r="178" spans="1:5" ht="12" customHeight="1" x14ac:dyDescent="0.25">
      <c r="A178" s="665"/>
      <c r="B178" s="663"/>
      <c r="C178" s="120" t="str">
        <f>'натур показатели инновации+добр'!C162</f>
        <v>саморез 3,5*51</v>
      </c>
      <c r="D178" s="69" t="str">
        <f>'натур показатели инновации+добр'!D162</f>
        <v>шт</v>
      </c>
      <c r="E178" s="181">
        <f>патриотика!D286</f>
        <v>293.46000000000004</v>
      </c>
    </row>
    <row r="179" spans="1:5" ht="12" customHeight="1" x14ac:dyDescent="0.25">
      <c r="A179" s="665"/>
      <c r="B179" s="663"/>
      <c r="C179" s="120" t="str">
        <f>'натур показатели инновации+добр'!C163</f>
        <v>саморез 4,2*70</v>
      </c>
      <c r="D179" s="69" t="str">
        <f>'натур показатели инновации+добр'!D163</f>
        <v>шт</v>
      </c>
      <c r="E179" s="181">
        <f>патриотика!D287</f>
        <v>361.8</v>
      </c>
    </row>
    <row r="180" spans="1:5" ht="12" customHeight="1" x14ac:dyDescent="0.25">
      <c r="A180" s="665"/>
      <c r="B180" s="663"/>
      <c r="C180" s="120" t="str">
        <f>'натур показатели инновации+добр'!C164</f>
        <v>набор пилок</v>
      </c>
      <c r="D180" s="69" t="str">
        <f>'натур показатели инновации+добр'!D164</f>
        <v>шт</v>
      </c>
      <c r="E180" s="181">
        <f>патриотика!D288</f>
        <v>1.206</v>
      </c>
    </row>
    <row r="181" spans="1:5" ht="12" customHeight="1" x14ac:dyDescent="0.25">
      <c r="A181" s="665"/>
      <c r="B181" s="663"/>
      <c r="C181" s="120" t="str">
        <f>'натур показатели инновации+добр'!C165</f>
        <v>комплект радиатора</v>
      </c>
      <c r="D181" s="69" t="str">
        <f>'натур показатели инновации+добр'!D165</f>
        <v>шт</v>
      </c>
      <c r="E181" s="181">
        <f>патриотика!D289</f>
        <v>4.0200000000000005</v>
      </c>
    </row>
    <row r="182" spans="1:5" ht="12" customHeight="1" x14ac:dyDescent="0.25">
      <c r="A182" s="665"/>
      <c r="B182" s="663"/>
      <c r="C182" s="120" t="str">
        <f>'натур показатели инновации+добр'!C166</f>
        <v>кран шаровый</v>
      </c>
      <c r="D182" s="69" t="str">
        <f>'натур показатели инновации+добр'!D166</f>
        <v>шт</v>
      </c>
      <c r="E182" s="181">
        <f>патриотика!D290</f>
        <v>8.0400000000000009</v>
      </c>
    </row>
    <row r="183" spans="1:5" x14ac:dyDescent="0.25">
      <c r="A183" s="665"/>
      <c r="B183" s="663"/>
      <c r="C183" s="120" t="str">
        <f>'натур показатели инновации+добр'!C167</f>
        <v>Лопата</v>
      </c>
      <c r="D183" s="69" t="str">
        <f>'натур показатели инновации+добр'!D167</f>
        <v>шт</v>
      </c>
      <c r="E183" s="181">
        <f>патриотика!D291</f>
        <v>0.40200000000000002</v>
      </c>
    </row>
    <row r="184" spans="1:5" x14ac:dyDescent="0.25">
      <c r="A184" s="665"/>
      <c r="B184" s="663"/>
      <c r="C184" s="120" t="str">
        <f>'натур показатели инновации+добр'!C168</f>
        <v>Пружина</v>
      </c>
      <c r="D184" s="69" t="str">
        <f>'натур показатели инновации+добр'!D168</f>
        <v>шт</v>
      </c>
      <c r="E184" s="181">
        <f>патриотика!D292</f>
        <v>10.050000000000001</v>
      </c>
    </row>
    <row r="185" spans="1:5" x14ac:dyDescent="0.25">
      <c r="A185" s="665"/>
      <c r="B185" s="663"/>
      <c r="C185" s="120" t="str">
        <f>'натур показатели инновации+добр'!C169</f>
        <v>смазка, мешки д/мусора, манжета</v>
      </c>
      <c r="D185" s="69" t="str">
        <f>'натур показатели инновации+добр'!D169</f>
        <v>шт</v>
      </c>
      <c r="E185" s="181">
        <f>патриотика!D293</f>
        <v>0.40200000000000002</v>
      </c>
    </row>
    <row r="186" spans="1:5" x14ac:dyDescent="0.25">
      <c r="A186" s="665"/>
      <c r="B186" s="663"/>
      <c r="C186" s="120" t="str">
        <f>'натур показатели инновации+добр'!C170</f>
        <v>ГСМ Дизтопливо</v>
      </c>
      <c r="D186" s="69" t="str">
        <f>'натур показатели инновации+добр'!D170</f>
        <v>шт</v>
      </c>
      <c r="E186" s="181">
        <f>патриотика!D294</f>
        <v>0.40200000000000002</v>
      </c>
    </row>
    <row r="187" spans="1:5" x14ac:dyDescent="0.25">
      <c r="A187" s="665"/>
      <c r="B187" s="663"/>
      <c r="C187" s="120" t="str">
        <f>'натур показатели инновации+добр'!C171</f>
        <v>ГСМ 12,1457л.*247дней*44,27 руб.</v>
      </c>
      <c r="D187" s="69" t="str">
        <f>'натур показатели инновации+добр'!D171</f>
        <v>шт</v>
      </c>
      <c r="E187" s="181">
        <f>патриотика!D295</f>
        <v>28.199496</v>
      </c>
    </row>
    <row r="188" spans="1:5" x14ac:dyDescent="0.25">
      <c r="A188" s="665"/>
      <c r="B188" s="663"/>
      <c r="C188" s="120" t="str">
        <f>'натур показатели инновации+добр'!C172</f>
        <v>грабли, черенок, лопата</v>
      </c>
      <c r="D188" s="69" t="str">
        <f>'натур показатели инновации+добр'!D172</f>
        <v>шт</v>
      </c>
      <c r="E188" s="181">
        <f>патриотика!D296</f>
        <v>0.40200000000000002</v>
      </c>
    </row>
    <row r="189" spans="1:5" x14ac:dyDescent="0.25">
      <c r="A189" s="665"/>
      <c r="B189" s="663"/>
      <c r="C189" s="120" t="str">
        <f>'натур показатели инновации+добр'!C173</f>
        <v>Чехол для кресла-мешка</v>
      </c>
      <c r="D189" s="69" t="str">
        <f>'натур показатели инновации+добр'!D173</f>
        <v>шт</v>
      </c>
      <c r="E189" s="181">
        <f>патриотика!D297</f>
        <v>2.4119999999999999</v>
      </c>
    </row>
    <row r="190" spans="1:5" x14ac:dyDescent="0.25">
      <c r="A190" s="665"/>
      <c r="B190" s="663"/>
      <c r="C190" s="120" t="str">
        <f>'натур показатели инновации+добр'!C174</f>
        <v>Наполнитель для кресла-мешка</v>
      </c>
      <c r="D190" s="69" t="str">
        <f>'натур показатели инновации+добр'!D174</f>
        <v>шт</v>
      </c>
      <c r="E190" s="181">
        <f>патриотика!D298</f>
        <v>0.80400000000000005</v>
      </c>
    </row>
    <row r="191" spans="1:5" ht="22.5" x14ac:dyDescent="0.25">
      <c r="A191" s="665"/>
      <c r="B191" s="663"/>
      <c r="C191" s="120" t="str">
        <f>'натур показатели инновации+добр'!C175</f>
        <v>Фотобумага IST глянцевая 100 листов односторонняя 230гр/м</v>
      </c>
      <c r="D191" s="69" t="str">
        <f>'натур показатели инновации+добр'!D175</f>
        <v>шт</v>
      </c>
      <c r="E191" s="181">
        <f>патриотика!D299</f>
        <v>4.0200000000000005</v>
      </c>
    </row>
    <row r="192" spans="1:5" ht="22.5" x14ac:dyDescent="0.25">
      <c r="A192" s="665"/>
      <c r="B192" s="663"/>
      <c r="C192" s="120" t="str">
        <f>'натур показатели инновации+добр'!C176</f>
        <v>Фотобумага IST глянцевая 100 листов односторонняя 180гр/м</v>
      </c>
      <c r="D192" s="69" t="str">
        <f>'натур показатели инновации+добр'!D176</f>
        <v>шт</v>
      </c>
      <c r="E192" s="181">
        <f>патриотика!D300</f>
        <v>4.0200000000000005</v>
      </c>
    </row>
    <row r="193" spans="1:5" ht="22.5" x14ac:dyDescent="0.25">
      <c r="A193" s="665"/>
      <c r="B193" s="663"/>
      <c r="C193" s="120" t="str">
        <f>'натур показатели инновации+добр'!C177</f>
        <v>Фотобумага IST глянцевая 100 листов односторонняя 190гр/м</v>
      </c>
      <c r="D193" s="69" t="str">
        <f>'натур показатели инновации+добр'!D177</f>
        <v>шт</v>
      </c>
      <c r="E193" s="181">
        <f>патриотика!D301</f>
        <v>8.0400000000000009</v>
      </c>
    </row>
    <row r="194" spans="1:5" x14ac:dyDescent="0.25">
      <c r="A194" s="665"/>
      <c r="B194" s="663"/>
      <c r="C194" s="120" t="str">
        <f>'натур показатели инновации+добр'!C178</f>
        <v>Тонер ECOSYS</v>
      </c>
      <c r="D194" s="69" t="str">
        <f>'натур показатели инновации+добр'!D178</f>
        <v>шт</v>
      </c>
      <c r="E194" s="181">
        <f>патриотика!D302</f>
        <v>0.80400000000000005</v>
      </c>
    </row>
    <row r="195" spans="1:5" ht="22.5" customHeight="1" x14ac:dyDescent="0.25">
      <c r="A195" s="665"/>
      <c r="B195" s="663"/>
      <c r="C195" s="120" t="str">
        <f>'натур показатели инновации+добр'!C179</f>
        <v>Картридж НР С2Р42АЕ</v>
      </c>
      <c r="D195" s="69" t="str">
        <f>'натур показатели инновации+добр'!D179</f>
        <v>шт</v>
      </c>
      <c r="E195" s="181">
        <f>патриотика!D303</f>
        <v>0.80400000000000005</v>
      </c>
    </row>
    <row r="196" spans="1:5" x14ac:dyDescent="0.25">
      <c r="A196" s="665"/>
      <c r="B196" s="663"/>
      <c r="C196" s="120" t="str">
        <f>'натур показатели инновации+добр'!C180</f>
        <v>Аккумулятор X-TREME Arctik  78.1</v>
      </c>
      <c r="D196" s="69" t="str">
        <f>'натур показатели инновации+добр'!D180</f>
        <v>шт</v>
      </c>
      <c r="E196" s="181">
        <f>патриотика!D304</f>
        <v>0.40200000000000002</v>
      </c>
    </row>
    <row r="197" spans="1:5" ht="22.5" x14ac:dyDescent="0.25">
      <c r="A197" s="665"/>
      <c r="B197" s="663"/>
      <c r="C197" s="120" t="str">
        <f>'натур показатели инновации+добр'!C181</f>
        <v>Амортизатор УАЗ 3159 задн. TRIALLI газомасл.3159-2915006 (3159-2915006)</v>
      </c>
      <c r="D197" s="69" t="str">
        <f>'натур показатели инновации+добр'!D181</f>
        <v>шт</v>
      </c>
      <c r="E197" s="181">
        <f>патриотика!D305</f>
        <v>1.6080000000000001</v>
      </c>
    </row>
    <row r="198" spans="1:5" x14ac:dyDescent="0.25">
      <c r="A198" s="665"/>
      <c r="B198" s="663"/>
      <c r="C198" s="120" t="str">
        <f>'натур показатели инновации+добр'!C182</f>
        <v>Болт М10*1*25 кардана УАЗ в/сб(уп. 20 шт)</v>
      </c>
      <c r="D198" s="69" t="str">
        <f>'натур показатели инновации+добр'!D182</f>
        <v>шт</v>
      </c>
      <c r="E198" s="181">
        <f>патриотика!D306</f>
        <v>6.4320000000000004</v>
      </c>
    </row>
    <row r="199" spans="1:5" ht="22.5" x14ac:dyDescent="0.25">
      <c r="A199" s="665"/>
      <c r="B199" s="663"/>
      <c r="C199" s="120" t="str">
        <f>'натур показатели инновации+добр'!C183</f>
        <v>Винт М8*1,25*12 потай шлиц.торм.барабана Волга Г-2410 290605 (290605-п29)</v>
      </c>
      <c r="D199" s="69" t="str">
        <f>'натур показатели инновации+добр'!D183</f>
        <v>шт</v>
      </c>
      <c r="E199" s="181">
        <f>патриотика!D307</f>
        <v>9.6479999999999997</v>
      </c>
    </row>
    <row r="200" spans="1:5" ht="22.5" x14ac:dyDescent="0.25">
      <c r="A200" s="665"/>
      <c r="B200" s="663"/>
      <c r="C200" s="120" t="str">
        <f>'натур показатели инновации+добр'!C184</f>
        <v>Вкладыш шкворня УАЗ-3160(латунь н/о 2 усика)3160 2304023-10 (3160 2304023-10)</v>
      </c>
      <c r="D200" s="69" t="str">
        <f>'натур показатели инновации+добр'!D184</f>
        <v>шт</v>
      </c>
      <c r="E200" s="181">
        <f>патриотика!D308</f>
        <v>3.2160000000000002</v>
      </c>
    </row>
    <row r="201" spans="1:5" ht="22.5" x14ac:dyDescent="0.25">
      <c r="A201" s="665"/>
      <c r="B201" s="663"/>
      <c r="C201" s="120" t="str">
        <f>'натур показатели инновации+добр'!C185</f>
        <v>Втулка амортизатора Волга ,УАЗ полиуретан 451-2905432 (451-2905432)</v>
      </c>
      <c r="D201" s="69" t="str">
        <f>'натур показатели инновации+добр'!D185</f>
        <v>шт</v>
      </c>
      <c r="E201" s="181">
        <f>патриотика!D309</f>
        <v>8.0400000000000009</v>
      </c>
    </row>
    <row r="202" spans="1:5" ht="22.5" customHeight="1" x14ac:dyDescent="0.25">
      <c r="A202" s="665"/>
      <c r="B202" s="663"/>
      <c r="C202" s="120" t="str">
        <f>'натур показатели инновации+добр'!C186</f>
        <v>Гайка колесная  М14*1,5 (18, ключ 22) Волга, Соболь, УАЗ</v>
      </c>
      <c r="D202" s="69" t="str">
        <f>'натур показатели инновации+добр'!D186</f>
        <v>шт</v>
      </c>
      <c r="E202" s="181">
        <f>патриотика!D310</f>
        <v>8.0400000000000009</v>
      </c>
    </row>
    <row r="203" spans="1:5" x14ac:dyDescent="0.25">
      <c r="A203" s="665"/>
      <c r="B203" s="663"/>
      <c r="C203" s="120" t="str">
        <f>'натур показатели инновации+добр'!C187</f>
        <v>Катушка зажигания 405 дв.(АТЭ-1)3032.3705 (3032.3705)</v>
      </c>
      <c r="D203" s="69" t="str">
        <f>'натур показатели инновации+добр'!D187</f>
        <v>шт</v>
      </c>
      <c r="E203" s="181">
        <f>патриотика!D311</f>
        <v>1.6080000000000001</v>
      </c>
    </row>
    <row r="204" spans="1:5" ht="22.5" x14ac:dyDescent="0.25">
      <c r="A204" s="665"/>
      <c r="B204" s="663"/>
      <c r="C204" s="120" t="str">
        <f>'натур показатели инновации+добр'!C188</f>
        <v>Колодка переднего тормоза (к-т 4 шт.)УАЗ Оригинал(ТИИР) 3163 3501088 (3163 3501088)</v>
      </c>
      <c r="D204" s="69" t="str">
        <f>'натур показатели инновации+добр'!D188</f>
        <v>шт</v>
      </c>
      <c r="E204" s="181">
        <f>патриотика!D312</f>
        <v>1.6080000000000001</v>
      </c>
    </row>
    <row r="205" spans="1:5" x14ac:dyDescent="0.25">
      <c r="A205" s="665"/>
      <c r="B205" s="663"/>
      <c r="C205" s="120" t="str">
        <f>'натур показатели инновации+добр'!C189</f>
        <v>Кольцо крестовины карданного вала</v>
      </c>
      <c r="D205" s="69" t="str">
        <f>'натур показатели инновации+добр'!D189</f>
        <v>шт</v>
      </c>
      <c r="E205" s="181">
        <f>патриотика!D313</f>
        <v>3.2160000000000002</v>
      </c>
    </row>
    <row r="206" spans="1:5" ht="33.75" x14ac:dyDescent="0.25">
      <c r="A206" s="665"/>
      <c r="B206" s="663"/>
      <c r="C206" s="120" t="str">
        <f>'натур показатели инновации+добр'!C190</f>
        <v>Комплект ГРМ(полный)ЗМЗ 405-409 ЕВРО-3 "Идеальная фаза"(двухрядная цепь 72/92 Ditton)406.3906625-05 (406.3906625-05)</v>
      </c>
      <c r="D206" s="69" t="str">
        <f>'натур показатели инновации+добр'!D190</f>
        <v>шт</v>
      </c>
      <c r="E206" s="181">
        <f>патриотика!D314</f>
        <v>0.40200000000000002</v>
      </c>
    </row>
    <row r="207" spans="1:5" x14ac:dyDescent="0.25">
      <c r="A207" s="665"/>
      <c r="B207" s="663"/>
      <c r="C207" s="120" t="str">
        <f>'натур показатели инновации+добр'!C191</f>
        <v>Комплект прокладок на дв.4091 Саморим УАЗ 452</v>
      </c>
      <c r="D207" s="69" t="str">
        <f>'натур показатели инновации+добр'!D191</f>
        <v>шт</v>
      </c>
      <c r="E207" s="181">
        <f>патриотика!D315</f>
        <v>0.40200000000000002</v>
      </c>
    </row>
    <row r="208" spans="1:5" ht="33.75" x14ac:dyDescent="0.25">
      <c r="A208" s="665"/>
      <c r="B208" s="663"/>
      <c r="C208" s="120" t="str">
        <f>'натур показатели инновации+добр'!C192</f>
        <v>Крестовина кардан.вала УАЗ(АДС)с масленкой и стопорными кольцами 42000.0469-2201025-00 (ВК469-2201025)</v>
      </c>
      <c r="D208" s="69" t="str">
        <f>'натур показатели инновации+добр'!D192</f>
        <v>шт</v>
      </c>
      <c r="E208" s="181">
        <f>патриотика!D316</f>
        <v>1.6080000000000001</v>
      </c>
    </row>
    <row r="209" spans="1:5" x14ac:dyDescent="0.25">
      <c r="A209" s="665"/>
      <c r="B209" s="663"/>
      <c r="C209" s="120" t="str">
        <f>'натур показатели инновации+добр'!C193</f>
        <v>Накладка педали сцепления УАЗ 2206</v>
      </c>
      <c r="D209" s="69" t="str">
        <f>'натур показатели инновации+добр'!D193</f>
        <v>шт</v>
      </c>
      <c r="E209" s="181">
        <f>патриотика!D317</f>
        <v>0.40200000000000002</v>
      </c>
    </row>
    <row r="210" spans="1:5" ht="22.5" x14ac:dyDescent="0.25">
      <c r="A210" s="665"/>
      <c r="B210" s="663"/>
      <c r="C210" s="120" t="str">
        <f>'натур показатели инновации+добр'!C194</f>
        <v>Наконечник рулевой тяги левый "АДС-Expert" 469-3414057-01 (469-3414057-01)</v>
      </c>
      <c r="D210" s="69" t="str">
        <f>'натур показатели инновации+добр'!D194</f>
        <v>шт</v>
      </c>
      <c r="E210" s="181">
        <f>патриотика!D318</f>
        <v>0.80400000000000005</v>
      </c>
    </row>
    <row r="211" spans="1:5" ht="22.5" customHeight="1" x14ac:dyDescent="0.25">
      <c r="A211" s="665"/>
      <c r="B211" s="663"/>
      <c r="C211" s="120" t="str">
        <f>'натур показатели инновации+добр'!C195</f>
        <v>Наконечник рулевой тяги правый "АДС-Expert" 469-3414056-01 (469-3414056-01)</v>
      </c>
      <c r="D211" s="69" t="str">
        <f>'натур показатели инновации+добр'!D195</f>
        <v>шт</v>
      </c>
      <c r="E211" s="181">
        <f>патриотика!D319</f>
        <v>2.4119999999999999</v>
      </c>
    </row>
    <row r="212" spans="1:5" ht="22.5" x14ac:dyDescent="0.25">
      <c r="A212" s="665"/>
      <c r="B212" s="663"/>
      <c r="C212" s="120" t="str">
        <f>'натур показатели инновации+добр'!C196</f>
        <v>Патрубки радиатора УАЗ Патриот 409дв.без кондиционера(силикон)(к-т 3шт)</v>
      </c>
      <c r="D212" s="69" t="str">
        <f>'натур показатели инновации+добр'!D196</f>
        <v>шт</v>
      </c>
      <c r="E212" s="181">
        <f>патриотика!D320</f>
        <v>0.40200000000000002</v>
      </c>
    </row>
    <row r="213" spans="1:5" x14ac:dyDescent="0.25">
      <c r="A213" s="665"/>
      <c r="B213" s="663"/>
      <c r="C213" s="120" t="str">
        <f>'натур показатели инновации+добр'!C197</f>
        <v>Подшипник ступичный 127509</v>
      </c>
      <c r="D213" s="69" t="str">
        <f>'натур показатели инновации+добр'!D197</f>
        <v>шт</v>
      </c>
      <c r="E213" s="181">
        <f>патриотика!D321</f>
        <v>3.2160000000000002</v>
      </c>
    </row>
    <row r="214" spans="1:5" ht="22.5" x14ac:dyDescent="0.25">
      <c r="A214" s="665"/>
      <c r="B214" s="663"/>
      <c r="C214" s="120" t="str">
        <f>'натур показатели инновации+добр'!C198</f>
        <v>Провода в/в 4091 дв.с наконеч.силикон.4091-3707244 (4091-3707244)</v>
      </c>
      <c r="D214" s="69" t="str">
        <f>'натур показатели инновации+добр'!D198</f>
        <v>шт</v>
      </c>
      <c r="E214" s="181">
        <f>патриотика!D322</f>
        <v>0.80400000000000005</v>
      </c>
    </row>
    <row r="215" spans="1:5" ht="22.5" x14ac:dyDescent="0.25">
      <c r="A215" s="665"/>
      <c r="B215" s="663"/>
      <c r="C215" s="120" t="str">
        <f>'натур показатели инновации+добр'!C199</f>
        <v>Прокладка крышки полуоси(паронит)3151-2407048 (3151-2407048)</v>
      </c>
      <c r="D215" s="69" t="str">
        <f>'натур показатели инновации+добр'!D199</f>
        <v>шт</v>
      </c>
      <c r="E215" s="181">
        <f>патриотика!D323</f>
        <v>4.0200000000000005</v>
      </c>
    </row>
    <row r="216" spans="1:5" ht="22.5" x14ac:dyDescent="0.25">
      <c r="A216" s="665"/>
      <c r="B216" s="663"/>
      <c r="C216" s="120" t="str">
        <f>'натур показатели инновации+добр'!C200</f>
        <v>Ремень (1275  мм 6РК) ЗМЗ-40524, 40525 ЕВРО -3 без ГУР "LUZAR" (40624 1308020-01)</v>
      </c>
      <c r="D216" s="69" t="str">
        <f>'натур показатели инновации+добр'!D200</f>
        <v>шт</v>
      </c>
      <c r="E216" s="181">
        <f>патриотика!D324</f>
        <v>1.206</v>
      </c>
    </row>
    <row r="217" spans="1:5" ht="22.5" x14ac:dyDescent="0.25">
      <c r="A217" s="665"/>
      <c r="B217" s="663"/>
      <c r="C217" s="120" t="str">
        <f>'натур показатели инновации+добр'!C201</f>
        <v>Ремень 1195 - 6 РК привода ГУР "OLEX POLY V BELT"3163-00-1308020-02 (3163-00-1308020-02)</v>
      </c>
      <c r="D217" s="69" t="str">
        <f>'натур показатели инновации+добр'!D201</f>
        <v>шт</v>
      </c>
      <c r="E217" s="181">
        <f>патриотика!D325</f>
        <v>1.206</v>
      </c>
    </row>
    <row r="218" spans="1:5" ht="22.5" x14ac:dyDescent="0.25">
      <c r="A218" s="665"/>
      <c r="B218" s="663"/>
      <c r="C218" s="120" t="str">
        <f>'натур показатели инновации+добр'!C202</f>
        <v>Ремень буксировочный 6/9т 6м (а/м до 3т)  Крюк/Крюк +сумка(олива) Tplus</v>
      </c>
      <c r="D218" s="69" t="str">
        <f>'натур показатели инновации+добр'!D202</f>
        <v>шт</v>
      </c>
      <c r="E218" s="181">
        <f>патриотика!D326</f>
        <v>0.40200000000000002</v>
      </c>
    </row>
    <row r="219" spans="1:5" ht="22.5" x14ac:dyDescent="0.25">
      <c r="A219" s="665"/>
      <c r="B219" s="663"/>
      <c r="C219" s="120" t="str">
        <f>'натур показатели инновации+добр'!C203</f>
        <v>Ремкомплект поворотного кулака УАЗ мост Спайсер с полиуретановым сальником 3160-2304052 (3160-2304052)</v>
      </c>
      <c r="D219" s="69" t="str">
        <f>'натур показатели инновации+добр'!D203</f>
        <v>шт</v>
      </c>
      <c r="E219" s="181">
        <f>патриотика!D327</f>
        <v>1.6080000000000001</v>
      </c>
    </row>
    <row r="220" spans="1:5" ht="33.75" x14ac:dyDescent="0.25">
      <c r="A220" s="665"/>
      <c r="B220" s="663"/>
      <c r="C220" s="120" t="str">
        <f>'натур показатели инновации+добр'!C204</f>
        <v>Ремкомплект шкворня УАЗ Хантер,Патриот мост Спайсер н/о(2 уса) с вкладышами)"Ваксойл"3163-230401 (3163-230401)</v>
      </c>
      <c r="D220" s="69" t="str">
        <f>'натур показатели инновации+добр'!D204</f>
        <v>шт</v>
      </c>
      <c r="E220" s="181">
        <f>патриотика!D328</f>
        <v>0.80400000000000005</v>
      </c>
    </row>
    <row r="221" spans="1:5" ht="22.5" x14ac:dyDescent="0.25">
      <c r="A221" s="665"/>
      <c r="B221" s="663"/>
      <c r="C221" s="120" t="str">
        <f>'натур показатели инновации+добр'!C205</f>
        <v>Сайлентблок передней подвески УАЗ резинометаллический (малый) 3160-2909027 (3160-2909027)</v>
      </c>
      <c r="D221" s="69" t="str">
        <f>'натур показатели инновации+добр'!D205</f>
        <v>шт</v>
      </c>
      <c r="E221" s="181">
        <f>патриотика!D329</f>
        <v>2.4119999999999999</v>
      </c>
    </row>
    <row r="222" spans="1:5" ht="22.5" x14ac:dyDescent="0.25">
      <c r="A222" s="665"/>
      <c r="B222" s="663"/>
      <c r="C222" s="120" t="str">
        <f>'натур показатели инновации+добр'!C206</f>
        <v>Сайлентблок рессоры УАЗ-Патриот 3163(завод)3163-2912020 (3163-2912020)</v>
      </c>
      <c r="D222" s="69" t="str">
        <f>'натур показатели инновации+добр'!D206</f>
        <v>шт</v>
      </c>
      <c r="E222" s="181">
        <f>патриотика!D330</f>
        <v>3.2160000000000002</v>
      </c>
    </row>
    <row r="223" spans="1:5" ht="33.75" x14ac:dyDescent="0.25">
      <c r="A223" s="665"/>
      <c r="B223" s="663"/>
      <c r="C223" s="120" t="str">
        <f>'натур показатели инновации+добр'!C207</f>
        <v>Сальник (55х70х8) коленвала передний 406дв."Кортеко"(Германия)406.1005034-02 (406.1005034-02)</v>
      </c>
      <c r="D223" s="69" t="str">
        <f>'натур показатели инновации+добр'!D207</f>
        <v>шт</v>
      </c>
      <c r="E223" s="181">
        <f>патриотика!D331</f>
        <v>0.80400000000000005</v>
      </c>
    </row>
    <row r="224" spans="1:5" ht="22.5" x14ac:dyDescent="0.25">
      <c r="A224" s="665"/>
      <c r="B224" s="663"/>
      <c r="C224" s="120" t="str">
        <f>'натур показатели инновации+добр'!C208</f>
        <v>Сальник (60х85х10) ступицы  NAK International 3741-3103038 (3741-3103038)</v>
      </c>
      <c r="D224" s="69" t="str">
        <f>'натур показатели инновации+добр'!D208</f>
        <v>шт</v>
      </c>
      <c r="E224" s="181">
        <f>патриотика!D332</f>
        <v>9.6479999999999997</v>
      </c>
    </row>
    <row r="225" spans="1:5" ht="22.5" x14ac:dyDescent="0.25">
      <c r="A225" s="665"/>
      <c r="B225" s="663"/>
      <c r="C225" s="120" t="str">
        <f>'натур показатели инновации+добр'!C209</f>
        <v>Сальник к/вала задний 100л.с. 80х100х10(NAK intarnational)</v>
      </c>
      <c r="D225" s="69" t="str">
        <f>'натур показатели инновации+добр'!D209</f>
        <v>шт</v>
      </c>
      <c r="E225" s="181">
        <f>патриотика!D333</f>
        <v>0.80400000000000005</v>
      </c>
    </row>
    <row r="226" spans="1:5" ht="22.5" x14ac:dyDescent="0.25">
      <c r="A226" s="665"/>
      <c r="B226" s="663"/>
      <c r="C226" s="120" t="str">
        <f>'натур показатели инновации+добр'!C210</f>
        <v>Сальник хвостовика 42х68х 10/14,5 усиленный "NAK"3741-00-1701210-03 (3741-00-1701210-03)</v>
      </c>
      <c r="D226" s="69" t="str">
        <f>'натур показатели инновации+добр'!D210</f>
        <v>шт</v>
      </c>
      <c r="E226" s="181">
        <f>патриотика!D334</f>
        <v>3.2160000000000002</v>
      </c>
    </row>
    <row r="227" spans="1:5" ht="22.5" x14ac:dyDescent="0.25">
      <c r="A227" s="665"/>
      <c r="B227" s="663"/>
      <c r="C227" s="120" t="str">
        <f>'натур показатели инновации+добр'!C211</f>
        <v>Сальник шруса (в мет. обойме)(32х50х10)(19000078)3741-2304071 (3741-2304071)</v>
      </c>
      <c r="D227" s="69" t="str">
        <f>'натур показатели инновации+добр'!D211</f>
        <v>шт</v>
      </c>
      <c r="E227" s="181">
        <f>патриотика!D335</f>
        <v>1.6080000000000001</v>
      </c>
    </row>
    <row r="228" spans="1:5" x14ac:dyDescent="0.25">
      <c r="A228" s="665"/>
      <c r="B228" s="663"/>
      <c r="C228" s="120" t="str">
        <f>'натур показатели инновации+добр'!C212</f>
        <v>Свеча зажигания DENSO  Q16ТТ#4  4607#4 (1 шт.)</v>
      </c>
      <c r="D228" s="69" t="str">
        <f>'натур показатели инновации+добр'!D212</f>
        <v>шт</v>
      </c>
      <c r="E228" s="181">
        <f>патриотика!D336</f>
        <v>3.2160000000000002</v>
      </c>
    </row>
    <row r="229" spans="1:5" x14ac:dyDescent="0.25">
      <c r="A229" s="665"/>
      <c r="B229" s="663"/>
      <c r="C229" s="120" t="str">
        <f>'натур показатели инновации+добр'!C213</f>
        <v>Скоба омегообр. с резьбой г/п 2,0т тип G 209 ХЛ</v>
      </c>
      <c r="D229" s="69" t="str">
        <f>'натур показатели инновации+добр'!D213</f>
        <v>шт</v>
      </c>
      <c r="E229" s="181">
        <f>патриотика!D337</f>
        <v>0.40200000000000002</v>
      </c>
    </row>
    <row r="230" spans="1:5" ht="22.5" x14ac:dyDescent="0.25">
      <c r="A230" s="665"/>
      <c r="B230" s="663"/>
      <c r="C230" s="120" t="str">
        <f>'натур показатели инновации+добр'!C214</f>
        <v>Строп динамический (рывковый) 6т,  9 м, серия "Стандарт" TPlus</v>
      </c>
      <c r="D230" s="69" t="str">
        <f>'натур показатели инновации+добр'!D214</f>
        <v>шт</v>
      </c>
      <c r="E230" s="181">
        <f>патриотика!D338</f>
        <v>0.40200000000000002</v>
      </c>
    </row>
    <row r="231" spans="1:5" ht="22.5" x14ac:dyDescent="0.25">
      <c r="A231" s="665"/>
      <c r="B231" s="663"/>
      <c r="C231" s="120" t="str">
        <f>'натур показатели инновации+добр'!C215</f>
        <v>Ступица заднего колеса УАЗ-3163(с имп.диском в сборе АБС)3163-3104006 (3163-3104006)</v>
      </c>
      <c r="D231" s="69" t="str">
        <f>'натур показатели инновации+добр'!D215</f>
        <v>шт</v>
      </c>
      <c r="E231" s="181">
        <f>патриотика!D339</f>
        <v>0.40200000000000002</v>
      </c>
    </row>
    <row r="232" spans="1:5" ht="22.5" x14ac:dyDescent="0.25">
      <c r="A232" s="665"/>
      <c r="B232" s="663"/>
      <c r="C232" s="120" t="str">
        <f>'натур показатели инновации+добр'!C216</f>
        <v>Сцепление к-т ЗМЗ-409"LUK"(с выжимным подшипником АДС)3163 06 1601006 (3163 06 1601006)</v>
      </c>
      <c r="D232" s="69" t="str">
        <f>'натур показатели инновации+добр'!D216</f>
        <v>шт</v>
      </c>
      <c r="E232" s="181">
        <f>патриотика!D340</f>
        <v>0.40200000000000002</v>
      </c>
    </row>
    <row r="233" spans="1:5" ht="22.5" x14ac:dyDescent="0.25">
      <c r="A233" s="665"/>
      <c r="B233" s="663"/>
      <c r="C233" s="120" t="str">
        <f>'натур показатели инновации+добр'!C217</f>
        <v>Термостат Т-118 t-87 (УМЗ4216) Электон  Т118-1306100-04</v>
      </c>
      <c r="D233" s="69" t="str">
        <f>'натур показатели инновации+добр'!D217</f>
        <v>шт</v>
      </c>
      <c r="E233" s="181">
        <f>патриотика!D341</f>
        <v>0.80400000000000005</v>
      </c>
    </row>
    <row r="234" spans="1:5" x14ac:dyDescent="0.25">
      <c r="A234" s="665"/>
      <c r="B234" s="663"/>
      <c r="C234" s="120" t="str">
        <f>'натур показатели инновации+добр'!C218</f>
        <v>Тормозная жидкость G-Energy EXPERT DOT4 (0.910кг)</v>
      </c>
      <c r="D234" s="69" t="str">
        <f>'натур показатели инновации+добр'!D218</f>
        <v>шт</v>
      </c>
      <c r="E234" s="181">
        <f>патриотика!D342</f>
        <v>0.80400000000000005</v>
      </c>
    </row>
    <row r="235" spans="1:5" ht="22.5" x14ac:dyDescent="0.25">
      <c r="A235" s="665"/>
      <c r="B235" s="663"/>
      <c r="C235" s="120" t="str">
        <f>'натур показатели инновации+добр'!C219</f>
        <v>Уплотнитель свечного колодца 406 дв.(ЕВРО-2)(Силикон синий) 406.1007248-10 (406.1007248-10)</v>
      </c>
      <c r="D235" s="69" t="str">
        <f>'натур показатели инновации+добр'!D219</f>
        <v>шт</v>
      </c>
      <c r="E235" s="181">
        <f>патриотика!D343</f>
        <v>0.40200000000000002</v>
      </c>
    </row>
    <row r="236" spans="1:5" ht="22.5" x14ac:dyDescent="0.25">
      <c r="A236" s="665"/>
      <c r="B236" s="663"/>
      <c r="C236" s="120" t="str">
        <f>'натур показатели инновации+добр'!C220</f>
        <v>Утеплитель лобовой наружный с дверями УАЗ-452(ватин/венил/кожа)</v>
      </c>
      <c r="D236" s="69" t="str">
        <f>'натур показатели инновации+добр'!D220</f>
        <v>шт</v>
      </c>
      <c r="E236" s="181">
        <f>патриотика!D344</f>
        <v>0.40200000000000002</v>
      </c>
    </row>
    <row r="237" spans="1:5" ht="22.5" x14ac:dyDescent="0.25">
      <c r="A237" s="665"/>
      <c r="B237" s="663"/>
      <c r="C237" s="120" t="str">
        <f>'натур показатели инновации+добр'!C221</f>
        <v>Фильтр масляный MANN-FILTER W 914/2(W 812)(W 813)(W 914/2 n)(W 914/5)"10"</v>
      </c>
      <c r="D237" s="69" t="str">
        <f>'натур показатели инновации+добр'!D221</f>
        <v>шт</v>
      </c>
      <c r="E237" s="181">
        <f>патриотика!D345</f>
        <v>1.6080000000000001</v>
      </c>
    </row>
    <row r="238" spans="1:5" ht="33.75" customHeight="1" x14ac:dyDescent="0.25">
      <c r="A238" s="665"/>
      <c r="B238" s="663"/>
      <c r="C238" s="120" t="str">
        <f>'натур показатели инновации+добр'!C222</f>
        <v>Фильтр топливный УАЗ ( инжектор штуцера с резьбой)УАЗ Оригиннал 3151-96-1117010 (3151-96-1117010)</v>
      </c>
      <c r="D238" s="69" t="str">
        <f>'натур показатели инновации+добр'!D222</f>
        <v>шт</v>
      </c>
      <c r="E238" s="181">
        <f>патриотика!D346</f>
        <v>1.6080000000000001</v>
      </c>
    </row>
    <row r="239" spans="1:5" ht="22.5" x14ac:dyDescent="0.25">
      <c r="A239" s="665"/>
      <c r="B239" s="663"/>
      <c r="C239" s="120" t="str">
        <f>'натур показатели инновации+добр'!C223</f>
        <v>Цилиндр тормозной задний УАЗ 3160,3162 Патриот(d=28мм)KNU 3160 3502040 (3160 3502040)</v>
      </c>
      <c r="D239" s="69" t="str">
        <f>'натур показатели инновации+добр'!D223</f>
        <v>шт</v>
      </c>
      <c r="E239" s="181">
        <f>патриотика!D347</f>
        <v>1.6080000000000001</v>
      </c>
    </row>
    <row r="240" spans="1:5" x14ac:dyDescent="0.25">
      <c r="A240" s="665"/>
      <c r="B240" s="663"/>
      <c r="C240" s="120" t="str">
        <f>'натур показатели инновации+добр'!C224</f>
        <v>Шакл (скоба омегообр. с резьбой г/п 3,25т)тип G209 ХЛ</v>
      </c>
      <c r="D240" s="69" t="str">
        <f>'натур показатели инновации+добр'!D224</f>
        <v>шт</v>
      </c>
      <c r="E240" s="181">
        <f>патриотика!D348</f>
        <v>0.40200000000000002</v>
      </c>
    </row>
    <row r="241" spans="1:5" ht="22.5" x14ac:dyDescent="0.25">
      <c r="A241" s="665"/>
      <c r="B241" s="663"/>
      <c r="C241" s="120" t="str">
        <f>'натур показатели инновации+добр'!C225</f>
        <v>Шкив помпы 406 дв текстолит 406.1308025-10 ( 406.1308025-10)</v>
      </c>
      <c r="D241" s="69" t="str">
        <f>'натур показатели инновации+добр'!D225</f>
        <v>шт</v>
      </c>
      <c r="E241" s="181">
        <f>патриотика!D349</f>
        <v>1.206</v>
      </c>
    </row>
    <row r="242" spans="1:5" ht="22.5" x14ac:dyDescent="0.25">
      <c r="A242" s="665"/>
      <c r="B242" s="663"/>
      <c r="C242" s="120" t="str">
        <f>'натур показатели инновации+добр'!C226</f>
        <v>Шланг тормозной задний УАЗ-452 инжектор.ЕВРО-4 3962-3506061 (3962-3506061)</v>
      </c>
      <c r="D242" s="69" t="str">
        <f>'натур показатели инновации+добр'!D226</f>
        <v>шт</v>
      </c>
      <c r="E242" s="181">
        <f>патриотика!D350</f>
        <v>1.6080000000000001</v>
      </c>
    </row>
    <row r="243" spans="1:5" ht="22.5" x14ac:dyDescent="0.25">
      <c r="A243" s="665"/>
      <c r="B243" s="663"/>
      <c r="C243" s="120" t="str">
        <f>'натур показатели инновации+добр'!C227</f>
        <v>Шланг тормозной передний УАЗ-452 инжектор Евро-4 3962-3506060 (3962-3506060)</v>
      </c>
      <c r="D243" s="69" t="str">
        <f>'натур показатели инновации+добр'!D227</f>
        <v>шт</v>
      </c>
      <c r="E243" s="181">
        <f>патриотика!D351</f>
        <v>1.6080000000000001</v>
      </c>
    </row>
    <row r="244" spans="1:5" ht="22.5" x14ac:dyDescent="0.25">
      <c r="A244" s="665"/>
      <c r="B244" s="663"/>
      <c r="C244" s="120" t="str">
        <f>'натур показатели инновации+добр'!C228</f>
        <v>Шпилька колеса М 14х1,5х45  ГАЗ 2410,УАЗ 20-3103008-Б (20-3103008-Б)</v>
      </c>
      <c r="D244" s="69" t="str">
        <f>'натур показатели инновации+добр'!D228</f>
        <v>шт</v>
      </c>
      <c r="E244" s="181">
        <f>патриотика!D352</f>
        <v>8.0400000000000009</v>
      </c>
    </row>
    <row r="245" spans="1:5" ht="22.5" x14ac:dyDescent="0.25">
      <c r="A245" s="665"/>
      <c r="B245" s="663"/>
      <c r="C245" s="120" t="str">
        <f>'натур показатели инновации+добр'!C229</f>
        <v>Элемент воздушного фильтра УАЗ 452 инжектор 4213,409 (низкий)Цитрон 9.1.97 1109080 (9.1.97 1109080)</v>
      </c>
      <c r="D245" s="69" t="str">
        <f>'натур показатели инновации+добр'!D229</f>
        <v>шт</v>
      </c>
      <c r="E245" s="181">
        <f>патриотика!D353</f>
        <v>0.80400000000000005</v>
      </c>
    </row>
    <row r="246" spans="1:5" x14ac:dyDescent="0.25">
      <c r="A246" s="665"/>
      <c r="B246" s="663"/>
      <c r="C246" s="120" t="str">
        <f>'натур показатели инновации+добр'!C230</f>
        <v>Кран шаровый</v>
      </c>
      <c r="D246" s="69" t="str">
        <f>'натур показатели инновации+добр'!D230</f>
        <v>шт</v>
      </c>
      <c r="E246" s="181">
        <f>патриотика!D354</f>
        <v>0.40200000000000002</v>
      </c>
    </row>
    <row r="247" spans="1:5" x14ac:dyDescent="0.25">
      <c r="A247" s="665"/>
      <c r="B247" s="663"/>
      <c r="C247" s="120" t="str">
        <f>'натур показатели инновации+добр'!C231</f>
        <v>Вода дист</v>
      </c>
      <c r="D247" s="69" t="str">
        <f>'натур показатели инновации+добр'!D231</f>
        <v>шт</v>
      </c>
      <c r="E247" s="181">
        <f>патриотика!D355</f>
        <v>0.40200000000000002</v>
      </c>
    </row>
    <row r="248" spans="1:5" x14ac:dyDescent="0.25">
      <c r="A248" s="665"/>
      <c r="B248" s="663"/>
      <c r="C248" s="120" t="str">
        <f>'натур показатели инновации+добр'!C232</f>
        <v>Кислота серная</v>
      </c>
      <c r="D248" s="69" t="str">
        <f>'натур показатели инновации+добр'!D232</f>
        <v>шт</v>
      </c>
      <c r="E248" s="181">
        <f>патриотика!D356</f>
        <v>1.6080000000000001</v>
      </c>
    </row>
    <row r="249" spans="1:5" x14ac:dyDescent="0.25">
      <c r="A249" s="665"/>
      <c r="B249" s="663"/>
      <c r="C249" s="120" t="str">
        <f>'натур показатели инновации+добр'!C233</f>
        <v>Пакеты майка</v>
      </c>
      <c r="D249" s="69" t="str">
        <f>'натур показатели инновации+добр'!D233</f>
        <v>шт</v>
      </c>
      <c r="E249" s="181">
        <f>патриотика!D357</f>
        <v>0.40200000000000002</v>
      </c>
    </row>
    <row r="250" spans="1:5" x14ac:dyDescent="0.25">
      <c r="A250" s="665"/>
      <c r="B250" s="663"/>
      <c r="C250" s="120" t="str">
        <f>'натур показатели инновации+добр'!C234</f>
        <v>Уголок мебельный</v>
      </c>
      <c r="D250" s="69" t="str">
        <f>'натур показатели инновации+добр'!D234</f>
        <v>шт</v>
      </c>
      <c r="E250" s="181">
        <f>патриотика!D358</f>
        <v>4.0200000000000005</v>
      </c>
    </row>
    <row r="251" spans="1:5" x14ac:dyDescent="0.25">
      <c r="A251" s="665"/>
      <c r="B251" s="663"/>
      <c r="C251" s="120" t="str">
        <f>'натур показатели инновации+добр'!C235</f>
        <v>Саморез по гипсокартону</v>
      </c>
      <c r="D251" s="69" t="str">
        <f>'натур показатели инновации+добр'!D235</f>
        <v>шт</v>
      </c>
      <c r="E251" s="181">
        <f>патриотика!D359</f>
        <v>80.400000000000006</v>
      </c>
    </row>
    <row r="252" spans="1:5" x14ac:dyDescent="0.25">
      <c r="A252" s="665"/>
      <c r="B252" s="663"/>
      <c r="C252" s="120" t="str">
        <f>'натур показатели инновации+добр'!C236</f>
        <v>Доместос</v>
      </c>
      <c r="D252" s="69" t="str">
        <f>'натур показатели инновации+добр'!D236</f>
        <v>шт</v>
      </c>
      <c r="E252" s="181">
        <f>патриотика!D360</f>
        <v>2.0100000000000002</v>
      </c>
    </row>
    <row r="253" spans="1:5" x14ac:dyDescent="0.25">
      <c r="A253" s="665"/>
      <c r="B253" s="663"/>
      <c r="C253" s="120" t="str">
        <f>'натур показатели инновации+добр'!C237</f>
        <v>Белизна</v>
      </c>
      <c r="D253" s="69" t="str">
        <f>'натур показатели инновации+добр'!D237</f>
        <v>шт</v>
      </c>
      <c r="E253" s="181">
        <f>патриотика!D361</f>
        <v>2.0100000000000002</v>
      </c>
    </row>
    <row r="254" spans="1:5" x14ac:dyDescent="0.25">
      <c r="A254" s="665"/>
      <c r="B254" s="663"/>
      <c r="C254" s="120" t="str">
        <f>'натур показатели инновации+добр'!C238</f>
        <v xml:space="preserve">Пемолюкс </v>
      </c>
      <c r="D254" s="69" t="str">
        <f>'натур показатели инновации+добр'!D238</f>
        <v>шт</v>
      </c>
      <c r="E254" s="181">
        <f>патриотика!D362</f>
        <v>6.03</v>
      </c>
    </row>
    <row r="255" spans="1:5" x14ac:dyDescent="0.25">
      <c r="A255" s="665"/>
      <c r="B255" s="663"/>
      <c r="C255" s="120" t="str">
        <f>'натур показатели инновации+добр'!C239</f>
        <v>Мыло</v>
      </c>
      <c r="D255" s="69" t="str">
        <f>'натур показатели инновации+добр'!D239</f>
        <v>шт</v>
      </c>
      <c r="E255" s="181">
        <f>патриотика!D363</f>
        <v>0.40200000000000002</v>
      </c>
    </row>
    <row r="256" spans="1:5" x14ac:dyDescent="0.25">
      <c r="A256" s="665"/>
      <c r="B256" s="663"/>
      <c r="C256" s="120" t="str">
        <f>'натур показатели инновации+добр'!C240</f>
        <v>Стеклоочиститель с распылителем</v>
      </c>
      <c r="D256" s="69" t="str">
        <f>'натур показатели инновации+добр'!D240</f>
        <v>шт</v>
      </c>
      <c r="E256" s="181">
        <f>патриотика!D364</f>
        <v>0.40200000000000002</v>
      </c>
    </row>
    <row r="257" spans="1:5" x14ac:dyDescent="0.25">
      <c r="A257" s="665"/>
      <c r="B257" s="663"/>
      <c r="C257" s="120" t="str">
        <f>'натур показатели инновации+добр'!C241</f>
        <v>Стеклоочиститель (сменный блок)</v>
      </c>
      <c r="D257" s="69" t="str">
        <f>'натур показатели инновации+добр'!D241</f>
        <v>шт</v>
      </c>
      <c r="E257" s="181">
        <f>патриотика!D365</f>
        <v>0.40200000000000002</v>
      </c>
    </row>
    <row r="258" spans="1:5" x14ac:dyDescent="0.25">
      <c r="A258" s="665"/>
      <c r="B258" s="663"/>
      <c r="C258" s="120" t="str">
        <f>'натур показатели инновации+добр'!C242</f>
        <v>Губки</v>
      </c>
      <c r="D258" s="69" t="str">
        <f>'натур показатели инновации+добр'!D242</f>
        <v>шт</v>
      </c>
      <c r="E258" s="181">
        <f>патриотика!D366</f>
        <v>0.80400000000000005</v>
      </c>
    </row>
    <row r="259" spans="1:5" x14ac:dyDescent="0.25">
      <c r="A259" s="665"/>
      <c r="B259" s="663"/>
      <c r="C259" s="120" t="str">
        <f>'натур показатели инновации+добр'!C243</f>
        <v>Моющее средство МИФ</v>
      </c>
      <c r="D259" s="69" t="str">
        <f>'натур показатели инновации+добр'!D243</f>
        <v>шт</v>
      </c>
      <c r="E259" s="181">
        <f>патриотика!D367</f>
        <v>2.0100000000000002</v>
      </c>
    </row>
    <row r="260" spans="1:5" x14ac:dyDescent="0.25">
      <c r="A260" s="665"/>
      <c r="B260" s="663"/>
      <c r="C260" s="120" t="str">
        <f>'натур показатели инновации+добр'!C244</f>
        <v>Тряпка вискозная</v>
      </c>
      <c r="D260" s="69" t="str">
        <f>'натур показатели инновации+добр'!D244</f>
        <v>шт</v>
      </c>
      <c r="E260" s="181">
        <f>патриотика!D368</f>
        <v>2.0100000000000002</v>
      </c>
    </row>
    <row r="261" spans="1:5" x14ac:dyDescent="0.25">
      <c r="A261" s="665"/>
      <c r="B261" s="663"/>
      <c r="C261" s="120" t="str">
        <f>'натур показатели инновации+добр'!C245</f>
        <v>Тряпки</v>
      </c>
      <c r="D261" s="69" t="str">
        <f>'натур показатели инновации+добр'!D245</f>
        <v>шт</v>
      </c>
      <c r="E261" s="181">
        <f>патриотика!D369</f>
        <v>2.0100000000000002</v>
      </c>
    </row>
    <row r="262" spans="1:5" x14ac:dyDescent="0.25">
      <c r="A262" s="665"/>
      <c r="B262" s="663"/>
      <c r="C262" s="120" t="str">
        <f>'натур показатели инновации+добр'!C246</f>
        <v>Полотенца бумажные</v>
      </c>
      <c r="D262" s="69" t="str">
        <f>'натур показатели инновации+добр'!D246</f>
        <v>шт</v>
      </c>
      <c r="E262" s="181">
        <f>патриотика!D370</f>
        <v>2.0100000000000002</v>
      </c>
    </row>
    <row r="263" spans="1:5" x14ac:dyDescent="0.25">
      <c r="A263" s="665"/>
      <c r="B263" s="663"/>
      <c r="C263" s="120" t="str">
        <f>'натур показатели инновации+добр'!C247</f>
        <v>Железная губка</v>
      </c>
      <c r="D263" s="69" t="str">
        <f>'натур показатели инновации+добр'!D247</f>
        <v>шт</v>
      </c>
      <c r="E263" s="181">
        <f>патриотика!D371</f>
        <v>0.80400000000000005</v>
      </c>
    </row>
    <row r="264" spans="1:5" x14ac:dyDescent="0.25">
      <c r="A264" s="665"/>
      <c r="B264" s="663"/>
      <c r="C264" s="120" t="str">
        <f>'натур показатели инновации+добр'!C248</f>
        <v>Перчатки</v>
      </c>
      <c r="D264" s="69" t="str">
        <f>'натур показатели инновации+добр'!D248</f>
        <v>шт</v>
      </c>
      <c r="E264" s="181">
        <f>патриотика!D372</f>
        <v>2.0100000000000002</v>
      </c>
    </row>
    <row r="265" spans="1:5" x14ac:dyDescent="0.25">
      <c r="A265" s="665"/>
      <c r="B265" s="663"/>
      <c r="C265" s="120" t="str">
        <f>'натур показатели инновации+добр'!C249</f>
        <v>Блок гигиенический для унитаза</v>
      </c>
      <c r="D265" s="69" t="str">
        <f>'натур показатели инновации+добр'!D249</f>
        <v>шт</v>
      </c>
      <c r="E265" s="181">
        <f>патриотика!D373</f>
        <v>0.80400000000000005</v>
      </c>
    </row>
    <row r="266" spans="1:5" x14ac:dyDescent="0.25">
      <c r="A266" s="665"/>
      <c r="B266" s="663"/>
      <c r="C266" s="120" t="str">
        <f>'натур показатели инновации+добр'!C250</f>
        <v>Мыло</v>
      </c>
      <c r="D266" s="69" t="str">
        <f>'натур показатели инновации+добр'!D250</f>
        <v>шт</v>
      </c>
      <c r="E266" s="181">
        <f>патриотика!D374</f>
        <v>2.0100000000000002</v>
      </c>
    </row>
    <row r="267" spans="1:5" x14ac:dyDescent="0.25">
      <c r="A267" s="665"/>
      <c r="B267" s="663"/>
      <c r="C267" s="120" t="str">
        <f>'натур показатели инновации+добр'!C251</f>
        <v>Мешки для мусора 60 л</v>
      </c>
      <c r="D267" s="69" t="str">
        <f>'натур показатели инновации+добр'!D251</f>
        <v>шт</v>
      </c>
      <c r="E267" s="181">
        <f>патриотика!D375</f>
        <v>4.0200000000000005</v>
      </c>
    </row>
    <row r="268" spans="1:5" x14ac:dyDescent="0.25">
      <c r="A268" s="665"/>
      <c r="B268" s="663"/>
      <c r="C268" s="120" t="str">
        <f>'натур показатели инновации+добр'!C252</f>
        <v>Мешки для мусора 120 л</v>
      </c>
      <c r="D268" s="69" t="str">
        <f>'натур показатели инновации+добр'!D252</f>
        <v>шт</v>
      </c>
      <c r="E268" s="181">
        <f>патриотика!D376</f>
        <v>2.0100000000000002</v>
      </c>
    </row>
    <row r="269" spans="1:5" x14ac:dyDescent="0.25">
      <c r="A269" s="665"/>
      <c r="B269" s="663"/>
      <c r="C269" s="120" t="str">
        <f>'натур показатели инновации+добр'!C253</f>
        <v>Мешки для мусора 35 л</v>
      </c>
      <c r="D269" s="69" t="str">
        <f>'натур показатели инновации+добр'!D253</f>
        <v>шт</v>
      </c>
      <c r="E269" s="181">
        <f>патриотика!D377</f>
        <v>4.0200000000000005</v>
      </c>
    </row>
    <row r="270" spans="1:5" x14ac:dyDescent="0.25">
      <c r="A270" s="665"/>
      <c r="B270" s="663"/>
      <c r="C270" s="120" t="str">
        <f>'натур показатели инновации+добр'!C254</f>
        <v>Туалетная бумага</v>
      </c>
      <c r="D270" s="69" t="str">
        <f>'натур показатели инновации+добр'!D254</f>
        <v>шт</v>
      </c>
      <c r="E270" s="181">
        <f>патриотика!D378</f>
        <v>19.295999999999999</v>
      </c>
    </row>
    <row r="271" spans="1:5" x14ac:dyDescent="0.25">
      <c r="A271" s="665"/>
      <c r="B271" s="663"/>
      <c r="C271" s="120" t="str">
        <f>'натур показатели инновации+добр'!C255</f>
        <v>Салфетка</v>
      </c>
      <c r="D271" s="69" t="str">
        <f>'натур показатели инновации+добр'!D255</f>
        <v>шт</v>
      </c>
      <c r="E271" s="181">
        <f>патриотика!D379</f>
        <v>2.0100000000000002</v>
      </c>
    </row>
    <row r="272" spans="1:5" x14ac:dyDescent="0.25">
      <c r="A272" s="665"/>
      <c r="B272" s="663"/>
      <c r="C272" s="120" t="str">
        <f>'натур показатели инновации+добр'!C256</f>
        <v>Пакет</v>
      </c>
      <c r="D272" s="69" t="str">
        <f>'натур показатели инновации+добр'!D256</f>
        <v>шт</v>
      </c>
      <c r="E272" s="181">
        <f>патриотика!D380</f>
        <v>1.206</v>
      </c>
    </row>
    <row r="273" spans="1:5" x14ac:dyDescent="0.25">
      <c r="A273" s="665"/>
      <c r="B273" s="663"/>
      <c r="C273" s="120" t="str">
        <f>'натур показатели инновации+добр'!C257</f>
        <v>Жидкое мыло</v>
      </c>
      <c r="D273" s="69" t="str">
        <f>'натур показатели инновации+добр'!D257</f>
        <v>шт</v>
      </c>
      <c r="E273" s="181">
        <f>патриотика!D381</f>
        <v>2.0100000000000002</v>
      </c>
    </row>
    <row r="274" spans="1:5" x14ac:dyDescent="0.25">
      <c r="A274" s="665"/>
      <c r="B274" s="663"/>
      <c r="C274" s="120" t="str">
        <f>'натур показатели инновации+добр'!C258</f>
        <v>Стеклоочиститель</v>
      </c>
      <c r="D274" s="69" t="str">
        <f>'натур показатели инновации+добр'!D258</f>
        <v>шт</v>
      </c>
      <c r="E274" s="181">
        <f>патриотика!D382</f>
        <v>1.206</v>
      </c>
    </row>
    <row r="275" spans="1:5" x14ac:dyDescent="0.25">
      <c r="A275" s="665"/>
      <c r="B275" s="663"/>
      <c r="C275" s="120" t="str">
        <f>'натур показатели инновации+добр'!C259</f>
        <v>Блок для записи маленький</v>
      </c>
      <c r="D275" s="69" t="str">
        <f>'натур показатели инновации+добр'!D259</f>
        <v>шт</v>
      </c>
      <c r="E275" s="181">
        <f>патриотика!D383</f>
        <v>0.80400000000000005</v>
      </c>
    </row>
    <row r="276" spans="1:5" x14ac:dyDescent="0.25">
      <c r="A276" s="665"/>
      <c r="B276" s="663"/>
      <c r="C276" s="120" t="str">
        <f>'натур показатели инновации+добр'!C260</f>
        <v>Блок для записи большой</v>
      </c>
      <c r="D276" s="69" t="str">
        <f>'натур показатели инновации+добр'!D260</f>
        <v>шт</v>
      </c>
      <c r="E276" s="181">
        <f>патриотика!D384</f>
        <v>1.206</v>
      </c>
    </row>
    <row r="277" spans="1:5" x14ac:dyDescent="0.25">
      <c r="A277" s="665"/>
      <c r="B277" s="663"/>
      <c r="C277" s="120" t="str">
        <f>'натур показатели инновации+добр'!C261</f>
        <v>Скрепки</v>
      </c>
      <c r="D277" s="69" t="str">
        <f>'натур показатели инновации+добр'!D261</f>
        <v>шт</v>
      </c>
      <c r="E277" s="181">
        <f>патриотика!D385</f>
        <v>4.0200000000000005</v>
      </c>
    </row>
    <row r="278" spans="1:5" x14ac:dyDescent="0.25">
      <c r="A278" s="665"/>
      <c r="B278" s="663"/>
      <c r="C278" s="120" t="str">
        <f>'натур показатели инновации+добр'!C262</f>
        <v>Кнопки</v>
      </c>
      <c r="D278" s="69" t="str">
        <f>'натур показатели инновации+добр'!D262</f>
        <v>шт</v>
      </c>
      <c r="E278" s="181">
        <f>патриотика!D386</f>
        <v>4.0200000000000005</v>
      </c>
    </row>
    <row r="279" spans="1:5" x14ac:dyDescent="0.25">
      <c r="A279" s="665"/>
      <c r="B279" s="663"/>
      <c r="C279" s="120" t="str">
        <f>'натур показатели инновации+добр'!C263</f>
        <v>Кнопки</v>
      </c>
      <c r="D279" s="69" t="str">
        <f>'натур показатели инновации+добр'!D263</f>
        <v>шт</v>
      </c>
      <c r="E279" s="181">
        <f>патриотика!D387</f>
        <v>2.0100000000000002</v>
      </c>
    </row>
    <row r="280" spans="1:5" x14ac:dyDescent="0.25">
      <c r="A280" s="665"/>
      <c r="B280" s="663"/>
      <c r="C280" s="120" t="str">
        <f>'натур показатели инновации+добр'!C264</f>
        <v>Степлер №10</v>
      </c>
      <c r="D280" s="69" t="str">
        <f>'натур показатели инновации+добр'!D264</f>
        <v>шт</v>
      </c>
      <c r="E280" s="181">
        <f>патриотика!D388</f>
        <v>0.40200000000000002</v>
      </c>
    </row>
    <row r="281" spans="1:5" x14ac:dyDescent="0.25">
      <c r="A281" s="665"/>
      <c r="B281" s="663"/>
      <c r="C281" s="120" t="str">
        <f>'натур показатели инновации+добр'!C265</f>
        <v>Степлер №24</v>
      </c>
      <c r="D281" s="69" t="str">
        <f>'натур показатели инновации+добр'!D265</f>
        <v>шт</v>
      </c>
      <c r="E281" s="181">
        <f>патриотика!D389</f>
        <v>0.40200000000000002</v>
      </c>
    </row>
    <row r="282" spans="1:5" x14ac:dyDescent="0.25">
      <c r="A282" s="665"/>
      <c r="B282" s="663"/>
      <c r="C282" s="120" t="str">
        <f>'натур показатели инновации+добр'!C266</f>
        <v>Степлер №21</v>
      </c>
      <c r="D282" s="69" t="str">
        <f>'натур показатели инновации+добр'!D266</f>
        <v>шт</v>
      </c>
      <c r="E282" s="181">
        <f>патриотика!D390</f>
        <v>1.206</v>
      </c>
    </row>
    <row r="283" spans="1:5" x14ac:dyDescent="0.25">
      <c r="A283" s="665"/>
      <c r="B283" s="663"/>
      <c r="C283" s="120" t="str">
        <f>'натур показатели инновации+добр'!C267</f>
        <v>Скобы для степлера (большие)</v>
      </c>
      <c r="D283" s="69" t="str">
        <f>'натур показатели инновации+добр'!D267</f>
        <v>шт</v>
      </c>
      <c r="E283" s="181">
        <f>патриотика!D391</f>
        <v>8.0400000000000009</v>
      </c>
    </row>
    <row r="284" spans="1:5" x14ac:dyDescent="0.25">
      <c r="A284" s="665"/>
      <c r="B284" s="663"/>
      <c r="C284" s="120" t="str">
        <f>'натур показатели инновации+добр'!C268</f>
        <v>Скобы для степлера (маленькие)</v>
      </c>
      <c r="D284" s="69" t="str">
        <f>'натур показатели инновации+добр'!D268</f>
        <v>шт</v>
      </c>
      <c r="E284" s="181">
        <f>патриотика!D392</f>
        <v>4.0200000000000005</v>
      </c>
    </row>
    <row r="285" spans="1:5" x14ac:dyDescent="0.25">
      <c r="A285" s="665"/>
      <c r="B285" s="663"/>
      <c r="C285" s="120" t="str">
        <f>'натур показатели инновации+добр'!C269</f>
        <v>Ножницы маленькие</v>
      </c>
      <c r="D285" s="69" t="str">
        <f>'натур показатели инновации+добр'!D269</f>
        <v>шт</v>
      </c>
      <c r="E285" s="181">
        <f>патриотика!D393</f>
        <v>1.206</v>
      </c>
    </row>
    <row r="286" spans="1:5" x14ac:dyDescent="0.25">
      <c r="A286" s="665"/>
      <c r="B286" s="663"/>
      <c r="C286" s="120" t="str">
        <f>'натур показатели инновации+добр'!C270</f>
        <v xml:space="preserve">Ножницы большие </v>
      </c>
      <c r="D286" s="69" t="str">
        <f>'натур показатели инновации+добр'!D270</f>
        <v>шт</v>
      </c>
      <c r="E286" s="181">
        <f>патриотика!D394</f>
        <v>0.40200000000000002</v>
      </c>
    </row>
    <row r="287" spans="1:5" x14ac:dyDescent="0.25">
      <c r="A287" s="665"/>
      <c r="B287" s="663"/>
      <c r="C287" s="120" t="str">
        <f>'натур показатели инновации+добр'!C271</f>
        <v>Ножницы</v>
      </c>
      <c r="D287" s="69" t="str">
        <f>'натур показатели инновации+добр'!D271</f>
        <v>шт</v>
      </c>
      <c r="E287" s="181">
        <f>патриотика!D395</f>
        <v>4.0200000000000005</v>
      </c>
    </row>
    <row r="288" spans="1:5" x14ac:dyDescent="0.25">
      <c r="A288" s="665"/>
      <c r="B288" s="663"/>
      <c r="C288" s="120" t="str">
        <f>'натур показатели инновации+добр'!C272</f>
        <v>Линейка 40 см</v>
      </c>
      <c r="D288" s="69" t="str">
        <f>'натур показатели инновации+добр'!D272</f>
        <v>шт</v>
      </c>
      <c r="E288" s="181">
        <f>патриотика!D396</f>
        <v>0.80400000000000005</v>
      </c>
    </row>
    <row r="289" spans="1:5" x14ac:dyDescent="0.25">
      <c r="A289" s="665"/>
      <c r="B289" s="663"/>
      <c r="C289" s="120" t="str">
        <f>'натур показатели инновации+добр'!C273</f>
        <v>Линейка 30 см</v>
      </c>
      <c r="D289" s="69" t="str">
        <f>'натур показатели инновации+добр'!D273</f>
        <v>шт</v>
      </c>
      <c r="E289" s="181">
        <f>патриотика!D397</f>
        <v>2.0100000000000002</v>
      </c>
    </row>
    <row r="290" spans="1:5" x14ac:dyDescent="0.25">
      <c r="A290" s="665"/>
      <c r="B290" s="663"/>
      <c r="C290" s="120" t="str">
        <f>'натур показатели инновации+добр'!C274</f>
        <v>Линейка 20 см</v>
      </c>
      <c r="D290" s="69" t="str">
        <f>'натур показатели инновации+добр'!D274</f>
        <v>шт</v>
      </c>
      <c r="E290" s="181">
        <f>патриотика!D398</f>
        <v>1.6080000000000001</v>
      </c>
    </row>
    <row r="291" spans="1:5" x14ac:dyDescent="0.25">
      <c r="A291" s="665"/>
      <c r="B291" s="663"/>
      <c r="C291" s="120" t="str">
        <f>'натур показатели инновации+добр'!C275</f>
        <v>Маркер черный толстый</v>
      </c>
      <c r="D291" s="69" t="str">
        <f>'натур показатели инновации+добр'!D275</f>
        <v>шт</v>
      </c>
      <c r="E291" s="181">
        <f>патриотика!D399</f>
        <v>0.40200000000000002</v>
      </c>
    </row>
    <row r="292" spans="1:5" x14ac:dyDescent="0.25">
      <c r="A292" s="665"/>
      <c r="B292" s="663"/>
      <c r="C292" s="120" t="str">
        <f>'натур показатели инновации+добр'!C276</f>
        <v>Маркер черный тонкий</v>
      </c>
      <c r="D292" s="69" t="str">
        <f>'натур показатели инновации+добр'!D276</f>
        <v>шт</v>
      </c>
      <c r="E292" s="181">
        <f>патриотика!D400</f>
        <v>3.2160000000000002</v>
      </c>
    </row>
    <row r="293" spans="1:5" x14ac:dyDescent="0.25">
      <c r="A293" s="665"/>
      <c r="B293" s="663"/>
      <c r="C293" s="120" t="str">
        <f>'натур показатели инновации+добр'!C277</f>
        <v>Маркер (набор)</v>
      </c>
      <c r="D293" s="69" t="str">
        <f>'натур показатели инновации+добр'!D277</f>
        <v>шт</v>
      </c>
      <c r="E293" s="181">
        <f>патриотика!D401</f>
        <v>0.40200000000000002</v>
      </c>
    </row>
    <row r="294" spans="1:5" x14ac:dyDescent="0.25">
      <c r="A294" s="665"/>
      <c r="B294" s="663"/>
      <c r="C294" s="120" t="str">
        <f>'натур показатели инновации+добр'!C278</f>
        <v>Маркер красный</v>
      </c>
      <c r="D294" s="69" t="str">
        <f>'натур показатели инновации+добр'!D278</f>
        <v>шт</v>
      </c>
      <c r="E294" s="181">
        <f>патриотика!D402</f>
        <v>1.6080000000000001</v>
      </c>
    </row>
    <row r="295" spans="1:5" x14ac:dyDescent="0.25">
      <c r="A295" s="665"/>
      <c r="B295" s="663"/>
      <c r="C295" s="120" t="str">
        <f>'натур показатели инновации+добр'!C279</f>
        <v>Маркер (синий)</v>
      </c>
      <c r="D295" s="69" t="str">
        <f>'натур показатели инновации+добр'!D279</f>
        <v>шт</v>
      </c>
      <c r="E295" s="181">
        <f>патриотика!D403</f>
        <v>0.80400000000000005</v>
      </c>
    </row>
    <row r="296" spans="1:5" x14ac:dyDescent="0.25">
      <c r="A296" s="665"/>
      <c r="B296" s="663"/>
      <c r="C296" s="120" t="str">
        <f>'натур показатели инновации+добр'!C280</f>
        <v>Клей маленький</v>
      </c>
      <c r="D296" s="69" t="str">
        <f>'натур показатели инновации+добр'!D280</f>
        <v>шт</v>
      </c>
      <c r="E296" s="181">
        <f>патриотика!D404</f>
        <v>3.6180000000000003</v>
      </c>
    </row>
    <row r="297" spans="1:5" x14ac:dyDescent="0.25">
      <c r="A297" s="665"/>
      <c r="B297" s="663"/>
      <c r="C297" s="120" t="str">
        <f>'натур показатели инновации+добр'!C281</f>
        <v>Клей большой</v>
      </c>
      <c r="D297" s="69" t="str">
        <f>'натур показатели инновации+добр'!D281</f>
        <v>шт</v>
      </c>
      <c r="E297" s="181">
        <f>патриотика!D405</f>
        <v>2.0100000000000002</v>
      </c>
    </row>
    <row r="298" spans="1:5" x14ac:dyDescent="0.25">
      <c r="A298" s="665"/>
      <c r="B298" s="663"/>
      <c r="C298" s="120" t="str">
        <f>'натур показатели инновации+добр'!C282</f>
        <v>Резак для резки бумаги</v>
      </c>
      <c r="D298" s="69" t="str">
        <f>'натур показатели инновации+добр'!D282</f>
        <v>шт</v>
      </c>
      <c r="E298" s="181">
        <f>патриотика!D406</f>
        <v>0.40200000000000002</v>
      </c>
    </row>
    <row r="299" spans="1:5" x14ac:dyDescent="0.25">
      <c r="A299" s="665"/>
      <c r="B299" s="663"/>
      <c r="C299" s="120" t="str">
        <f>'натур показатели инновации+добр'!C283</f>
        <v>Краска</v>
      </c>
      <c r="D299" s="69" t="str">
        <f>'натур показатели инновации+добр'!D283</f>
        <v>шт</v>
      </c>
      <c r="E299" s="181">
        <f>патриотика!D407</f>
        <v>0.40200000000000002</v>
      </c>
    </row>
    <row r="300" spans="1:5" x14ac:dyDescent="0.25">
      <c r="A300" s="665"/>
      <c r="B300" s="663"/>
      <c r="C300" s="120" t="str">
        <f>'натур показатели инновации+добр'!C284</f>
        <v>Зажим маленький</v>
      </c>
      <c r="D300" s="69" t="str">
        <f>'натур показатели инновации+добр'!D284</f>
        <v>шт</v>
      </c>
      <c r="E300" s="181">
        <f>патриотика!D408</f>
        <v>4.0200000000000005</v>
      </c>
    </row>
    <row r="301" spans="1:5" x14ac:dyDescent="0.25">
      <c r="A301" s="665"/>
      <c r="B301" s="663"/>
      <c r="C301" s="120" t="str">
        <f>'натур показатели инновации+добр'!C285</f>
        <v>Зажим большой</v>
      </c>
      <c r="D301" s="69" t="str">
        <f>'натур показатели инновации+добр'!D285</f>
        <v>шт</v>
      </c>
      <c r="E301" s="181">
        <f>патриотика!D409</f>
        <v>4.0200000000000005</v>
      </c>
    </row>
    <row r="302" spans="1:5" x14ac:dyDescent="0.25">
      <c r="A302" s="665"/>
      <c r="B302" s="663"/>
      <c r="C302" s="120" t="str">
        <f>'натур показатели инновации+добр'!C286</f>
        <v>Корректор ручка</v>
      </c>
      <c r="D302" s="69" t="str">
        <f>'натур показатели инновации+добр'!D286</f>
        <v>шт</v>
      </c>
      <c r="E302" s="181">
        <f>патриотика!D410</f>
        <v>0.80400000000000005</v>
      </c>
    </row>
    <row r="303" spans="1:5" x14ac:dyDescent="0.25">
      <c r="A303" s="665"/>
      <c r="B303" s="663"/>
      <c r="C303" s="120" t="str">
        <f>'натур показатели инновации+добр'!C287</f>
        <v>Корректор с кистью</v>
      </c>
      <c r="D303" s="69" t="str">
        <f>'натур показатели инновации+добр'!D287</f>
        <v>шт</v>
      </c>
      <c r="E303" s="181">
        <f>патриотика!D411</f>
        <v>0.80400000000000005</v>
      </c>
    </row>
    <row r="304" spans="1:5" x14ac:dyDescent="0.25">
      <c r="A304" s="665"/>
      <c r="B304" s="663"/>
      <c r="C304" s="120" t="str">
        <f>'натур показатели инновации+добр'!C288</f>
        <v>Скотч</v>
      </c>
      <c r="D304" s="69" t="str">
        <f>'натур показатели инновации+добр'!D288</f>
        <v>шт</v>
      </c>
      <c r="E304" s="181">
        <f>патриотика!D412</f>
        <v>2.0100000000000002</v>
      </c>
    </row>
    <row r="305" spans="1:5" x14ac:dyDescent="0.25">
      <c r="A305" s="665"/>
      <c r="B305" s="663"/>
      <c r="C305" s="120" t="str">
        <f>'натур показатели инновации+добр'!C289</f>
        <v>Нож канцелярский</v>
      </c>
      <c r="D305" s="69" t="str">
        <f>'натур показатели инновации+добр'!D289</f>
        <v>шт</v>
      </c>
      <c r="E305" s="181">
        <f>патриотика!D413</f>
        <v>4.8239999999999998</v>
      </c>
    </row>
    <row r="306" spans="1:5" x14ac:dyDescent="0.25">
      <c r="A306" s="665"/>
      <c r="B306" s="663"/>
      <c r="C306" s="120" t="str">
        <f>'натур показатели инновации+добр'!C290</f>
        <v>Нитки для сшивания (толстые)</v>
      </c>
      <c r="D306" s="69" t="str">
        <f>'натур показатели инновации+добр'!D290</f>
        <v>шт</v>
      </c>
      <c r="E306" s="181">
        <f>патриотика!D414</f>
        <v>0.40200000000000002</v>
      </c>
    </row>
    <row r="307" spans="1:5" x14ac:dyDescent="0.25">
      <c r="A307" s="665"/>
      <c r="B307" s="663"/>
      <c r="C307" s="120" t="str">
        <f>'натур показатели инновации+добр'!C291</f>
        <v>Шило</v>
      </c>
      <c r="D307" s="69" t="str">
        <f>'натур показатели инновации+добр'!D291</f>
        <v>шт</v>
      </c>
      <c r="E307" s="181">
        <f>патриотика!D415</f>
        <v>0.40200000000000002</v>
      </c>
    </row>
    <row r="308" spans="1:5" x14ac:dyDescent="0.25">
      <c r="A308" s="665"/>
      <c r="B308" s="663"/>
      <c r="C308" s="120" t="str">
        <f>'натур показатели инновации+добр'!C292</f>
        <v>Дырокол на 10 листов металл.</v>
      </c>
      <c r="D308" s="69" t="str">
        <f>'натур показатели инновации+добр'!D292</f>
        <v>шт</v>
      </c>
      <c r="E308" s="181">
        <f>патриотика!D416</f>
        <v>1.6080000000000001</v>
      </c>
    </row>
    <row r="309" spans="1:5" x14ac:dyDescent="0.25">
      <c r="A309" s="665"/>
      <c r="B309" s="663"/>
      <c r="C309" s="120" t="str">
        <f>'натур показатели инновации+добр'!C293</f>
        <v>Дырокол на 70 листов черный</v>
      </c>
      <c r="D309" s="69" t="str">
        <f>'натур показатели инновации+добр'!D293</f>
        <v>шт</v>
      </c>
      <c r="E309" s="181">
        <f>патриотика!D417</f>
        <v>0.40200000000000002</v>
      </c>
    </row>
    <row r="310" spans="1:5" x14ac:dyDescent="0.25">
      <c r="A310" s="665"/>
      <c r="B310" s="663"/>
      <c r="C310" s="120" t="str">
        <f>'натур показатели инновации+добр'!C294</f>
        <v>Карандаш простой</v>
      </c>
      <c r="D310" s="69" t="str">
        <f>'натур показатели инновации+добр'!D294</f>
        <v>шт</v>
      </c>
      <c r="E310" s="181">
        <f>патриотика!D418</f>
        <v>4.0200000000000005</v>
      </c>
    </row>
    <row r="311" spans="1:5" x14ac:dyDescent="0.25">
      <c r="A311" s="665"/>
      <c r="B311" s="663"/>
      <c r="C311" s="120" t="str">
        <f>'натур показатели инновации+добр'!C295</f>
        <v>Ручка</v>
      </c>
      <c r="D311" s="69" t="str">
        <f>'натур показатели инновации+добр'!D295</f>
        <v>шт</v>
      </c>
      <c r="E311" s="181">
        <f>патриотика!D419</f>
        <v>0.40200000000000002</v>
      </c>
    </row>
    <row r="312" spans="1:5" x14ac:dyDescent="0.25">
      <c r="A312" s="665"/>
      <c r="B312" s="663"/>
      <c r="C312" s="120" t="str">
        <f>'натур показатели инновации+добр'!C296</f>
        <v>Полотенце</v>
      </c>
      <c r="D312" s="69" t="str">
        <f>'натур показатели инновации+добр'!D296</f>
        <v>шт</v>
      </c>
      <c r="E312" s="181">
        <f>патриотика!D420</f>
        <v>2.0100000000000002</v>
      </c>
    </row>
    <row r="313" spans="1:5" x14ac:dyDescent="0.25">
      <c r="A313" s="665"/>
      <c r="B313" s="663"/>
      <c r="C313" s="120" t="str">
        <f>'натур показатели инновации+добр'!C297</f>
        <v>Комплект веник-совок</v>
      </c>
      <c r="D313" s="69" t="str">
        <f>'натур показатели инновации+добр'!D297</f>
        <v>шт</v>
      </c>
      <c r="E313" s="181">
        <f>патриотика!D421</f>
        <v>1.206</v>
      </c>
    </row>
    <row r="314" spans="1:5" x14ac:dyDescent="0.25">
      <c r="A314" s="665"/>
      <c r="B314" s="663"/>
      <c r="C314" s="120" t="str">
        <f>'натур показатели инновации+добр'!C298</f>
        <v>Насадки на швабру</v>
      </c>
      <c r="D314" s="69" t="str">
        <f>'натур показатели инновации+добр'!D298</f>
        <v>шт</v>
      </c>
      <c r="E314" s="181">
        <f>патриотика!D422</f>
        <v>1.6080000000000001</v>
      </c>
    </row>
    <row r="315" spans="1:5" x14ac:dyDescent="0.25">
      <c r="A315" s="665"/>
      <c r="B315" s="663"/>
      <c r="C315" s="120" t="str">
        <f>'натур показатели инновации+добр'!C299</f>
        <v>Бумага Svetocopy</v>
      </c>
      <c r="D315" s="69" t="str">
        <f>'натур показатели инновации+добр'!D299</f>
        <v>шт</v>
      </c>
      <c r="E315" s="181">
        <f>патриотика!D423</f>
        <v>12.06</v>
      </c>
    </row>
    <row r="316" spans="1:5" x14ac:dyDescent="0.25">
      <c r="A316" s="665"/>
      <c r="B316" s="663"/>
      <c r="C316" s="120" t="str">
        <f>'натур показатели инновации+добр'!C300</f>
        <v>Папка накопитель</v>
      </c>
      <c r="D316" s="69" t="str">
        <f>'натур показатели инновации+добр'!D300</f>
        <v>шт</v>
      </c>
      <c r="E316" s="181">
        <f>патриотика!D424</f>
        <v>0.40200000000000002</v>
      </c>
    </row>
    <row r="317" spans="1:5" x14ac:dyDescent="0.25">
      <c r="A317" s="665"/>
      <c r="B317" s="663"/>
      <c r="C317" s="120" t="str">
        <f>'натур показатели инновации+добр'!C301</f>
        <v>Набор пил колец</v>
      </c>
      <c r="D317" s="69" t="str">
        <f>'натур показатели инновации+добр'!D301</f>
        <v>шт</v>
      </c>
      <c r="E317" s="181">
        <f>патриотика!D425</f>
        <v>0.40200000000000002</v>
      </c>
    </row>
    <row r="318" spans="1:5" x14ac:dyDescent="0.25">
      <c r="A318" s="665"/>
      <c r="B318" s="663"/>
      <c r="C318" s="120" t="str">
        <f>'натур показатели инновации+добр'!C302</f>
        <v>Клей</v>
      </c>
      <c r="D318" s="69" t="s">
        <v>91</v>
      </c>
      <c r="E318" s="181">
        <f>патриотика!D426</f>
        <v>0.40200000000000002</v>
      </c>
    </row>
    <row r="319" spans="1:5" x14ac:dyDescent="0.25">
      <c r="A319" s="665"/>
      <c r="B319" s="663"/>
      <c r="C319" s="120" t="str">
        <f>'натур показатели инновации+добр'!C303</f>
        <v>Крышка горловины</v>
      </c>
      <c r="D319" s="69" t="s">
        <v>91</v>
      </c>
      <c r="E319" s="181">
        <f>патриотика!D427</f>
        <v>0.80400000000000005</v>
      </c>
    </row>
    <row r="320" spans="1:5" x14ac:dyDescent="0.25">
      <c r="A320" s="665"/>
      <c r="B320" s="663"/>
      <c r="C320" s="120" t="str">
        <f>'натур показатели инновации+добр'!C304</f>
        <v>папка скоросшиватель</v>
      </c>
      <c r="D320" s="69" t="s">
        <v>91</v>
      </c>
      <c r="E320" s="181">
        <f>патриотика!D428</f>
        <v>4.0200000000000005</v>
      </c>
    </row>
    <row r="321" spans="1:5" x14ac:dyDescent="0.25">
      <c r="A321" s="665"/>
      <c r="B321" s="663"/>
      <c r="C321" s="120" t="str">
        <f>'натур показатели инновации+добр'!C305</f>
        <v>Прессвол РОР-АР 3,5*2,3м</v>
      </c>
      <c r="D321" s="69" t="s">
        <v>91</v>
      </c>
      <c r="E321" s="181">
        <f>патриотика!D429</f>
        <v>0.40200000000000002</v>
      </c>
    </row>
    <row r="322" spans="1:5" x14ac:dyDescent="0.25">
      <c r="A322" s="665"/>
      <c r="B322" s="663"/>
      <c r="C322" s="120" t="str">
        <f>'натур показатели инновации+добр'!C306</f>
        <v>плинтус кабель-канал</v>
      </c>
      <c r="D322" s="69" t="s">
        <v>91</v>
      </c>
      <c r="E322" s="181">
        <f>патриотика!D430</f>
        <v>1.206</v>
      </c>
    </row>
    <row r="323" spans="1:5" x14ac:dyDescent="0.25">
      <c r="A323" s="665"/>
      <c r="B323" s="663"/>
      <c r="C323" s="120" t="str">
        <f>'натур показатели инновации+добр'!C307</f>
        <v>валик малярный L</v>
      </c>
      <c r="D323" s="69" t="s">
        <v>91</v>
      </c>
      <c r="E323" s="181">
        <f>патриотика!D431</f>
        <v>0.80400000000000005</v>
      </c>
    </row>
    <row r="324" spans="1:5" x14ac:dyDescent="0.25">
      <c r="A324" s="665"/>
      <c r="B324" s="663"/>
      <c r="C324" s="120" t="str">
        <f>'натур показатели инновации+добр'!C308</f>
        <v>валик малярный профи</v>
      </c>
      <c r="D324" s="69" t="s">
        <v>91</v>
      </c>
      <c r="E324" s="181">
        <f>патриотика!D432</f>
        <v>0.80400000000000005</v>
      </c>
    </row>
    <row r="325" spans="1:5" x14ac:dyDescent="0.25">
      <c r="A325" s="665"/>
      <c r="B325" s="663"/>
      <c r="C325" s="120" t="str">
        <f>'натур показатели инновации+добр'!C309</f>
        <v>кабель-канал</v>
      </c>
      <c r="D325" s="69" t="s">
        <v>91</v>
      </c>
      <c r="E325" s="181">
        <f>патриотика!D433</f>
        <v>2.0100000000000002</v>
      </c>
    </row>
    <row r="326" spans="1:5" x14ac:dyDescent="0.25">
      <c r="A326" s="665"/>
      <c r="B326" s="663"/>
      <c r="C326" s="120" t="str">
        <f>'натур показатели инновации+добр'!C310</f>
        <v>ванночка малярная</v>
      </c>
      <c r="D326" s="69" t="s">
        <v>91</v>
      </c>
      <c r="E326" s="181">
        <f>патриотика!D434</f>
        <v>0.80400000000000005</v>
      </c>
    </row>
    <row r="327" spans="1:5" x14ac:dyDescent="0.25">
      <c r="A327" s="665"/>
      <c r="B327" s="663"/>
      <c r="C327" s="120" t="str">
        <f>'натур показатели инновации+добр'!C311</f>
        <v>шайба крановая</v>
      </c>
      <c r="D327" s="69" t="s">
        <v>91</v>
      </c>
      <c r="E327" s="181">
        <f>патриотика!D435</f>
        <v>8.0400000000000009</v>
      </c>
    </row>
    <row r="328" spans="1:5" x14ac:dyDescent="0.25">
      <c r="A328" s="665"/>
      <c r="B328" s="663"/>
      <c r="C328" s="120" t="str">
        <f>'натур показатели инновации+добр'!C312</f>
        <v>эмаль аэрозоль</v>
      </c>
      <c r="D328" s="69" t="s">
        <v>91</v>
      </c>
      <c r="E328" s="181">
        <f>патриотика!D436</f>
        <v>0.80400000000000005</v>
      </c>
    </row>
    <row r="329" spans="1:5" x14ac:dyDescent="0.25">
      <c r="A329" s="665"/>
      <c r="B329" s="663"/>
      <c r="C329" s="120" t="str">
        <f>'натур показатели инновации+добр'!C313</f>
        <v>Папка-регистратор</v>
      </c>
      <c r="D329" s="69" t="s">
        <v>91</v>
      </c>
      <c r="E329" s="181">
        <f>патриотика!D437</f>
        <v>8.8440000000000012</v>
      </c>
    </row>
    <row r="330" spans="1:5" x14ac:dyDescent="0.25">
      <c r="A330" s="665"/>
      <c r="B330" s="663"/>
      <c r="C330" s="120" t="str">
        <f>'натур показатели инновации+добр'!C314</f>
        <v>Блок питания</v>
      </c>
      <c r="D330" s="69" t="s">
        <v>91</v>
      </c>
      <c r="E330" s="181">
        <f>патриотика!D438</f>
        <v>0.40200000000000002</v>
      </c>
    </row>
    <row r="331" spans="1:5" x14ac:dyDescent="0.25">
      <c r="A331" s="665"/>
      <c r="B331" s="663"/>
      <c r="C331" s="120" t="str">
        <f>'натур показатели инновации+добр'!C315</f>
        <v>Кабель</v>
      </c>
      <c r="D331" s="69" t="s">
        <v>91</v>
      </c>
      <c r="E331" s="181">
        <f>патриотика!D439</f>
        <v>1.206</v>
      </c>
    </row>
    <row r="332" spans="1:5" x14ac:dyDescent="0.25">
      <c r="A332" s="665"/>
      <c r="B332" s="663"/>
      <c r="C332" s="120" t="str">
        <f>'натур показатели инновации+добр'!C316</f>
        <v>Карта памяти</v>
      </c>
      <c r="D332" s="69" t="s">
        <v>91</v>
      </c>
      <c r="E332" s="181">
        <f>патриотика!D440</f>
        <v>0.80400000000000005</v>
      </c>
    </row>
    <row r="333" spans="1:5" x14ac:dyDescent="0.25">
      <c r="A333" s="665"/>
      <c r="B333" s="663"/>
      <c r="C333" s="120" t="str">
        <f>'натур показатели инновации+добр'!C317</f>
        <v>Кабель</v>
      </c>
      <c r="D333" s="69" t="s">
        <v>91</v>
      </c>
      <c r="E333" s="181">
        <f>патриотика!D441</f>
        <v>0.40200000000000002</v>
      </c>
    </row>
    <row r="334" spans="1:5" x14ac:dyDescent="0.25">
      <c r="A334" s="665"/>
      <c r="B334" s="663"/>
      <c r="C334" s="120" t="str">
        <f>'натур показатели инновации+добр'!C318</f>
        <v>Бумага Lomond 230</v>
      </c>
      <c r="D334" s="69" t="s">
        <v>91</v>
      </c>
      <c r="E334" s="181">
        <f>патриотика!D442</f>
        <v>0.80400000000000005</v>
      </c>
    </row>
    <row r="335" spans="1:5" x14ac:dyDescent="0.25">
      <c r="A335" s="665"/>
      <c r="B335" s="663"/>
      <c r="C335" s="120" t="str">
        <f>'натур показатели инновации+добр'!C319</f>
        <v>Бумага Lomond 140</v>
      </c>
      <c r="D335" s="69" t="s">
        <v>91</v>
      </c>
      <c r="E335" s="181">
        <f>патриотика!D443</f>
        <v>0.80400000000000005</v>
      </c>
    </row>
    <row r="336" spans="1:5" x14ac:dyDescent="0.25">
      <c r="A336" s="665"/>
      <c r="B336" s="663"/>
      <c r="C336" s="120" t="str">
        <f>'натур показатели инновации+добр'!C320</f>
        <v>Бумага Lomond 200</v>
      </c>
      <c r="D336" s="69" t="s">
        <v>91</v>
      </c>
      <c r="E336" s="181">
        <f>патриотика!D444</f>
        <v>0.80400000000000005</v>
      </c>
    </row>
    <row r="337" spans="1:5" x14ac:dyDescent="0.25">
      <c r="A337" s="665"/>
      <c r="B337" s="663"/>
      <c r="C337" s="120" t="str">
        <f>'натур показатели инновации+добр'!C321</f>
        <v>Бумага Cactus 180</v>
      </c>
      <c r="D337" s="69" t="s">
        <v>91</v>
      </c>
      <c r="E337" s="181">
        <f>патриотика!D445</f>
        <v>0.80400000000000005</v>
      </c>
    </row>
    <row r="338" spans="1:5" x14ac:dyDescent="0.25">
      <c r="A338" s="665"/>
      <c r="B338" s="663"/>
      <c r="C338" s="120" t="str">
        <f>'натур показатели инновации+добр'!C322</f>
        <v>Бумага Cactus 230</v>
      </c>
      <c r="D338" s="69" t="s">
        <v>91</v>
      </c>
      <c r="E338" s="181">
        <f>патриотика!D446</f>
        <v>0.80400000000000005</v>
      </c>
    </row>
    <row r="339" spans="1:5" x14ac:dyDescent="0.25">
      <c r="A339" s="665"/>
      <c r="B339" s="663"/>
      <c r="C339" s="120" t="str">
        <f>'натур показатели инновации+добр'!C323</f>
        <v>Бумага офисная А3</v>
      </c>
      <c r="D339" s="69" t="s">
        <v>91</v>
      </c>
      <c r="E339" s="181">
        <f>патриотика!D447</f>
        <v>2.0100000000000002</v>
      </c>
    </row>
    <row r="340" spans="1:5" x14ac:dyDescent="0.25">
      <c r="A340" s="665"/>
      <c r="B340" s="663"/>
      <c r="C340" s="120" t="str">
        <f>'натур показатели инновации+добр'!C324</f>
        <v>Бумага Lomond А3</v>
      </c>
      <c r="D340" s="69" t="s">
        <v>91</v>
      </c>
      <c r="E340" s="181">
        <f>патриотика!D448</f>
        <v>1.6080000000000001</v>
      </c>
    </row>
    <row r="341" spans="1:5" x14ac:dyDescent="0.25">
      <c r="A341" s="665"/>
      <c r="B341" s="663"/>
      <c r="C341" s="120" t="str">
        <f>'натур показатели инновации+добр'!C325</f>
        <v>Папка-регистратор</v>
      </c>
      <c r="D341" s="69" t="s">
        <v>91</v>
      </c>
      <c r="E341" s="181">
        <f>патриотика!D449</f>
        <v>4.0200000000000005</v>
      </c>
    </row>
    <row r="342" spans="1:5" x14ac:dyDescent="0.25">
      <c r="A342" s="665"/>
      <c r="B342" s="663"/>
      <c r="C342" s="120" t="str">
        <f>'натур показатели инновации+добр'!C326</f>
        <v>Блокнот для флипчарта</v>
      </c>
      <c r="D342" s="69" t="s">
        <v>91</v>
      </c>
      <c r="E342" s="181">
        <f>патриотика!D450</f>
        <v>2.0100000000000002</v>
      </c>
    </row>
    <row r="343" spans="1:5" x14ac:dyDescent="0.25">
      <c r="A343" s="665"/>
      <c r="B343" s="663"/>
      <c r="C343" s="120" t="str">
        <f>'натур показатели инновации+добр'!C327</f>
        <v>Чернила для заправки комплект</v>
      </c>
      <c r="D343" s="69" t="s">
        <v>91</v>
      </c>
      <c r="E343" s="181">
        <f>патриотика!D451</f>
        <v>1.6080000000000001</v>
      </c>
    </row>
    <row r="344" spans="1:5" x14ac:dyDescent="0.25">
      <c r="A344" s="665"/>
      <c r="B344" s="663"/>
      <c r="C344" s="120" t="str">
        <f>'натур показатели инновации+добр'!C328</f>
        <v>гвозди строит</v>
      </c>
      <c r="D344" s="69" t="s">
        <v>91</v>
      </c>
      <c r="E344" s="181">
        <f>патриотика!D452</f>
        <v>0.80400000000000005</v>
      </c>
    </row>
    <row r="345" spans="1:5" x14ac:dyDescent="0.25">
      <c r="A345" s="665"/>
      <c r="B345" s="663"/>
      <c r="C345" s="120" t="str">
        <f>'натур показатели инновации+добр'!C329</f>
        <v>гвозди строит</v>
      </c>
      <c r="D345" s="69" t="s">
        <v>91</v>
      </c>
      <c r="E345" s="181">
        <f>патриотика!D453</f>
        <v>12.06</v>
      </c>
    </row>
    <row r="346" spans="1:5" x14ac:dyDescent="0.25">
      <c r="A346" s="665"/>
      <c r="B346" s="663"/>
      <c r="C346" s="120" t="str">
        <f>'натур показатели инновации+добр'!C330</f>
        <v>Помпа дополнительная</v>
      </c>
      <c r="D346" s="69" t="s">
        <v>91</v>
      </c>
      <c r="E346" s="181">
        <f>патриотика!D454</f>
        <v>0.40200000000000002</v>
      </c>
    </row>
    <row r="347" spans="1:5" x14ac:dyDescent="0.25">
      <c r="A347" s="665"/>
      <c r="B347" s="663"/>
      <c r="C347" s="120" t="str">
        <f>'натур показатели инновации+добр'!C331</f>
        <v>уголок крепежный</v>
      </c>
      <c r="D347" s="69" t="s">
        <v>91</v>
      </c>
      <c r="E347" s="181">
        <f>патриотика!D455</f>
        <v>80.400000000000006</v>
      </c>
    </row>
    <row r="348" spans="1:5" x14ac:dyDescent="0.25">
      <c r="A348" s="665"/>
      <c r="B348" s="663"/>
      <c r="C348" s="120" t="str">
        <f>'натур показатели инновации+добр'!C332</f>
        <v>саморез</v>
      </c>
      <c r="D348" s="69" t="s">
        <v>91</v>
      </c>
      <c r="E348" s="181">
        <f>патриотика!D456</f>
        <v>100.5</v>
      </c>
    </row>
    <row r="349" spans="1:5" x14ac:dyDescent="0.25">
      <c r="A349" s="665"/>
      <c r="B349" s="663"/>
      <c r="C349" s="120" t="str">
        <f>'натур показатели инновации+добр'!C333</f>
        <v>гвозди строит</v>
      </c>
      <c r="D349" s="69" t="s">
        <v>91</v>
      </c>
      <c r="E349" s="181">
        <f>патриотика!D457</f>
        <v>0.40200000000000002</v>
      </c>
    </row>
    <row r="350" spans="1:5" x14ac:dyDescent="0.25">
      <c r="A350" s="665"/>
      <c r="B350" s="663"/>
      <c r="C350" s="120" t="str">
        <f>'натур показатели инновации+добр'!C334</f>
        <v>стяжка для проводов</v>
      </c>
      <c r="D350" s="69" t="s">
        <v>91</v>
      </c>
      <c r="E350" s="181">
        <f>патриотика!D458</f>
        <v>0.80400000000000005</v>
      </c>
    </row>
    <row r="351" spans="1:5" x14ac:dyDescent="0.25">
      <c r="A351" s="665"/>
      <c r="B351" s="663"/>
      <c r="C351" s="120" t="str">
        <f>'натур показатели инновации+добр'!C335</f>
        <v>стяжка для проводов</v>
      </c>
      <c r="D351" s="69" t="s">
        <v>91</v>
      </c>
      <c r="E351" s="181">
        <f>патриотика!D459</f>
        <v>0.80400000000000005</v>
      </c>
    </row>
    <row r="352" spans="1:5" x14ac:dyDescent="0.25">
      <c r="A352" s="665"/>
      <c r="B352" s="663"/>
      <c r="C352" s="120" t="str">
        <f>'натур показатели инновации+добр'!C336</f>
        <v>гвозди строит</v>
      </c>
      <c r="D352" s="69" t="s">
        <v>91</v>
      </c>
      <c r="E352" s="181">
        <f>патриотика!D460</f>
        <v>0.40200000000000002</v>
      </c>
    </row>
    <row r="353" spans="1:5" x14ac:dyDescent="0.25">
      <c r="A353" s="665"/>
      <c r="B353" s="663"/>
      <c r="C353" s="120" t="str">
        <f>'натур показатели инновации+добр'!C337</f>
        <v>Стойки, втулки Хёндай</v>
      </c>
      <c r="D353" s="69" t="s">
        <v>91</v>
      </c>
      <c r="E353" s="181">
        <f>патриотика!D461</f>
        <v>4.0200000000000005</v>
      </c>
    </row>
    <row r="354" spans="1:5" x14ac:dyDescent="0.25">
      <c r="A354" s="665"/>
      <c r="B354" s="663"/>
      <c r="C354" s="120" t="str">
        <f>'натур показатели инновации+добр'!C338</f>
        <v xml:space="preserve">хозяйственно-бытовые товары </v>
      </c>
      <c r="D354" s="69" t="s">
        <v>91</v>
      </c>
      <c r="E354" s="181">
        <f>патриотика!D462</f>
        <v>176.88000000000002</v>
      </c>
    </row>
    <row r="355" spans="1:5" x14ac:dyDescent="0.25">
      <c r="A355" s="665"/>
      <c r="B355" s="663"/>
      <c r="C355" s="120" t="str">
        <f>'натур показатели инновации+добр'!C339</f>
        <v>антифриз для УАЗ</v>
      </c>
      <c r="D355" s="69" t="s">
        <v>91</v>
      </c>
      <c r="E355" s="181">
        <f>патриотика!D463</f>
        <v>0.80400000000000005</v>
      </c>
    </row>
    <row r="356" spans="1:5" x14ac:dyDescent="0.25">
      <c r="B356" s="663"/>
      <c r="C356" s="120"/>
      <c r="D356" s="69"/>
      <c r="E356" s="181"/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356"/>
    <mergeCell ref="A7:A355"/>
    <mergeCell ref="C50:E50"/>
    <mergeCell ref="C114:E114"/>
    <mergeCell ref="C116:E116"/>
    <mergeCell ref="C51:E51"/>
    <mergeCell ref="C58:E58"/>
    <mergeCell ref="C92:E92"/>
    <mergeCell ref="C100:E100"/>
    <mergeCell ref="C105:E105"/>
    <mergeCell ref="C110:E110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S471"/>
  <sheetViews>
    <sheetView view="pageBreakPreview" zoomScale="75" zoomScaleNormal="70" zoomScaleSheetLayoutView="75" zoomScalePageLayoutView="80" workbookViewId="0">
      <selection activeCell="A2" sqref="A2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8" width="25.375" style="7"/>
    <col min="9" max="9" width="17.75" style="7" customWidth="1"/>
    <col min="10" max="16384" width="25.375" style="7"/>
  </cols>
  <sheetData>
    <row r="1" spans="1:123" ht="18.75" x14ac:dyDescent="0.25">
      <c r="A1" s="702" t="s">
        <v>49</v>
      </c>
      <c r="B1" s="702"/>
      <c r="C1" s="702"/>
      <c r="D1" s="702"/>
      <c r="E1" s="702"/>
      <c r="F1" s="702"/>
      <c r="G1" s="702"/>
      <c r="H1" s="702"/>
      <c r="I1" s="702"/>
    </row>
    <row r="2" spans="1:123" ht="18.75" x14ac:dyDescent="0.25">
      <c r="A2" s="245" t="str">
        <f>'таланты+инициативы'!A2</f>
        <v>на 30.09.2019 год</v>
      </c>
      <c r="B2" s="245"/>
      <c r="C2" s="245"/>
      <c r="D2" s="245"/>
      <c r="E2" s="245"/>
      <c r="F2" s="245"/>
      <c r="G2" s="245"/>
      <c r="H2" s="245"/>
      <c r="I2" s="245"/>
    </row>
    <row r="3" spans="1:123" ht="57.6" customHeight="1" x14ac:dyDescent="0.25">
      <c r="A3" s="8" t="s">
        <v>601</v>
      </c>
      <c r="B3" s="723" t="s">
        <v>52</v>
      </c>
      <c r="C3" s="723"/>
      <c r="D3" s="723"/>
      <c r="E3" s="723"/>
      <c r="F3" s="723"/>
      <c r="G3" s="723"/>
      <c r="J3" s="734"/>
      <c r="K3" s="734"/>
      <c r="L3" s="734"/>
      <c r="M3" s="734"/>
      <c r="N3" s="734"/>
      <c r="O3" s="734"/>
      <c r="P3" s="734"/>
      <c r="Q3" s="734"/>
      <c r="R3" s="734"/>
      <c r="S3" s="734"/>
      <c r="T3" s="734"/>
      <c r="U3" s="734"/>
      <c r="V3" s="734"/>
      <c r="W3" s="734"/>
      <c r="X3" s="734"/>
      <c r="Y3" s="734"/>
      <c r="Z3" s="734"/>
      <c r="AA3" s="734"/>
      <c r="AB3" s="734"/>
      <c r="AC3" s="734"/>
      <c r="AD3" s="734"/>
      <c r="AE3" s="734"/>
      <c r="AF3" s="734"/>
      <c r="AG3" s="734"/>
      <c r="AH3" s="734"/>
      <c r="AI3" s="734"/>
      <c r="AJ3" s="734"/>
      <c r="AK3" s="734"/>
      <c r="AL3" s="734"/>
      <c r="AM3" s="734"/>
      <c r="AN3" s="734"/>
      <c r="AO3" s="734"/>
      <c r="AP3" s="734"/>
      <c r="AQ3" s="734"/>
      <c r="AR3" s="734"/>
      <c r="AS3" s="734"/>
      <c r="AT3" s="734"/>
      <c r="AU3" s="734"/>
      <c r="AV3" s="734"/>
      <c r="AW3" s="734"/>
      <c r="AX3" s="734"/>
      <c r="AY3" s="734"/>
      <c r="AZ3" s="734"/>
      <c r="BA3" s="734"/>
      <c r="BB3" s="734"/>
      <c r="BC3" s="734"/>
      <c r="BD3" s="734"/>
      <c r="BE3" s="734"/>
      <c r="BF3" s="734"/>
      <c r="BG3" s="734"/>
      <c r="BH3" s="734"/>
      <c r="BI3" s="734"/>
      <c r="BJ3" s="734"/>
      <c r="BK3" s="734"/>
      <c r="BL3" s="734"/>
      <c r="BM3" s="734"/>
      <c r="BN3" s="734"/>
      <c r="BO3" s="734"/>
      <c r="BP3" s="734"/>
      <c r="BQ3" s="734"/>
      <c r="BR3" s="734"/>
      <c r="BS3" s="734"/>
      <c r="BT3" s="734"/>
      <c r="BU3" s="734"/>
      <c r="BV3" s="734"/>
      <c r="BW3" s="734"/>
      <c r="BX3" s="734"/>
      <c r="BY3" s="734"/>
      <c r="BZ3" s="734"/>
      <c r="CA3" s="734"/>
      <c r="CB3" s="734"/>
      <c r="CC3" s="734"/>
      <c r="CD3" s="734"/>
      <c r="CE3" s="734"/>
      <c r="CF3" s="734"/>
      <c r="CG3" s="734"/>
      <c r="CH3" s="734"/>
      <c r="CI3" s="734"/>
      <c r="CJ3" s="734"/>
      <c r="CK3" s="734"/>
      <c r="CL3" s="734"/>
      <c r="CM3" s="734"/>
      <c r="CN3" s="734"/>
      <c r="CO3" s="734"/>
      <c r="CP3" s="734"/>
      <c r="CQ3" s="734"/>
      <c r="CR3" s="734"/>
      <c r="CS3" s="734"/>
      <c r="CT3" s="734"/>
      <c r="CU3" s="734"/>
      <c r="CV3" s="734"/>
      <c r="CW3" s="734"/>
      <c r="CX3" s="734"/>
      <c r="CY3" s="734"/>
      <c r="CZ3" s="734"/>
      <c r="DA3" s="734"/>
      <c r="DB3" s="734"/>
      <c r="DC3" s="734"/>
      <c r="DD3" s="734"/>
      <c r="DE3" s="734"/>
      <c r="DF3" s="734"/>
      <c r="DG3" s="734"/>
      <c r="DH3" s="734"/>
      <c r="DI3" s="734"/>
      <c r="DJ3" s="734"/>
      <c r="DK3" s="734"/>
      <c r="DL3" s="734"/>
      <c r="DM3" s="734"/>
      <c r="DN3" s="734"/>
      <c r="DO3" s="734"/>
      <c r="DP3" s="734"/>
      <c r="DQ3" s="734"/>
      <c r="DR3" s="734"/>
      <c r="DS3" s="734"/>
    </row>
    <row r="4" spans="1:123" x14ac:dyDescent="0.25">
      <c r="A4" s="691" t="s">
        <v>212</v>
      </c>
      <c r="B4" s="691"/>
      <c r="C4" s="691"/>
      <c r="D4" s="691"/>
      <c r="E4" s="691"/>
    </row>
    <row r="5" spans="1:123" x14ac:dyDescent="0.25">
      <c r="A5" s="692" t="s">
        <v>45</v>
      </c>
      <c r="B5" s="692"/>
      <c r="C5" s="692"/>
      <c r="D5" s="692"/>
      <c r="E5" s="692"/>
    </row>
    <row r="6" spans="1:123" x14ac:dyDescent="0.25">
      <c r="A6" s="692" t="s">
        <v>290</v>
      </c>
      <c r="B6" s="692"/>
      <c r="C6" s="692"/>
      <c r="D6" s="692"/>
      <c r="E6" s="692"/>
    </row>
    <row r="7" spans="1:123" x14ac:dyDescent="0.25">
      <c r="A7" s="540" t="s">
        <v>50</v>
      </c>
      <c r="B7" s="540"/>
      <c r="C7" s="540"/>
      <c r="D7" s="540"/>
      <c r="E7" s="540"/>
    </row>
    <row r="8" spans="1:123" ht="31.15" customHeight="1" x14ac:dyDescent="0.25">
      <c r="A8" s="109" t="s">
        <v>34</v>
      </c>
      <c r="B8" s="70" t="s">
        <v>9</v>
      </c>
      <c r="C8" s="71"/>
      <c r="D8" s="541" t="s">
        <v>10</v>
      </c>
      <c r="E8" s="542"/>
      <c r="F8" s="244" t="s">
        <v>9</v>
      </c>
    </row>
    <row r="9" spans="1:123" x14ac:dyDescent="0.25">
      <c r="A9" s="109"/>
      <c r="B9" s="243"/>
      <c r="C9" s="243"/>
      <c r="D9" s="543" t="str">
        <f>'инновации+добровольчество'!D10:E10</f>
        <v>Заведующий МЦ</v>
      </c>
      <c r="E9" s="544"/>
      <c r="F9" s="72">
        <v>1</v>
      </c>
    </row>
    <row r="10" spans="1:123" x14ac:dyDescent="0.25">
      <c r="A10" s="70" t="s">
        <v>152</v>
      </c>
      <c r="B10" s="243">
        <v>5.6</v>
      </c>
      <c r="C10" s="243"/>
      <c r="D10" s="545" t="str">
        <f>'[1]2016'!$AE$25</f>
        <v>Водитель</v>
      </c>
      <c r="E10" s="546"/>
      <c r="F10" s="243">
        <v>1</v>
      </c>
    </row>
    <row r="11" spans="1:123" x14ac:dyDescent="0.25">
      <c r="A11" s="70" t="s">
        <v>102</v>
      </c>
      <c r="B11" s="243">
        <v>1</v>
      </c>
      <c r="C11" s="243"/>
      <c r="D11" s="545" t="s">
        <v>96</v>
      </c>
      <c r="E11" s="546"/>
      <c r="F11" s="243">
        <v>0.5</v>
      </c>
    </row>
    <row r="12" spans="1:123" x14ac:dyDescent="0.25">
      <c r="A12" s="109"/>
      <c r="B12" s="243"/>
      <c r="C12" s="243"/>
      <c r="D12" s="545" t="str">
        <f>'[1]2016'!$AE$26</f>
        <v xml:space="preserve">Уборщик служебных помещений </v>
      </c>
      <c r="E12" s="546"/>
      <c r="F12" s="243">
        <v>1</v>
      </c>
    </row>
    <row r="13" spans="1:123" x14ac:dyDescent="0.25">
      <c r="A13" s="73" t="s">
        <v>61</v>
      </c>
      <c r="B13" s="74">
        <f>SUM(B9:B10)+B11</f>
        <v>6.6</v>
      </c>
      <c r="C13" s="73"/>
      <c r="D13" s="547" t="s">
        <v>61</v>
      </c>
      <c r="E13" s="548"/>
      <c r="F13" s="74">
        <f>SUM(F9:F12)</f>
        <v>3.5</v>
      </c>
    </row>
    <row r="14" spans="1:123" x14ac:dyDescent="0.25">
      <c r="A14" s="9" t="str">
        <f>'таланты+инициативы'!A14:J14</f>
        <v>Затраты на оплату труда 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связанных с выполнением работы</v>
      </c>
    </row>
    <row r="15" spans="1:123" x14ac:dyDescent="0.25">
      <c r="A15" s="704" t="s">
        <v>213</v>
      </c>
      <c r="B15" s="704"/>
      <c r="C15" s="704"/>
      <c r="D15" s="704"/>
      <c r="E15" s="704"/>
      <c r="F15" s="704"/>
    </row>
    <row r="16" spans="1:123" x14ac:dyDescent="0.25">
      <c r="A16" s="10" t="s">
        <v>207</v>
      </c>
      <c r="B16" s="10"/>
      <c r="C16" s="10"/>
      <c r="D16" s="10"/>
    </row>
    <row r="17" spans="1:12" x14ac:dyDescent="0.25">
      <c r="A17" s="705" t="s">
        <v>47</v>
      </c>
      <c r="B17" s="705"/>
      <c r="C17" s="705"/>
      <c r="D17" s="705"/>
      <c r="E17" s="705"/>
      <c r="F17" s="705"/>
    </row>
    <row r="18" spans="1:12" x14ac:dyDescent="0.25">
      <c r="A18" s="703" t="s">
        <v>214</v>
      </c>
      <c r="B18" s="703"/>
      <c r="C18" s="246"/>
      <c r="D18" s="167">
        <v>0.40200000000000002</v>
      </c>
      <c r="E18" s="168"/>
    </row>
    <row r="19" spans="1:12" ht="22.9" customHeight="1" x14ac:dyDescent="0.25">
      <c r="A19" s="683" t="s">
        <v>0</v>
      </c>
      <c r="B19" s="683" t="s">
        <v>1</v>
      </c>
      <c r="C19" s="238"/>
      <c r="D19" s="683" t="s">
        <v>2</v>
      </c>
      <c r="E19" s="684" t="s">
        <v>3</v>
      </c>
      <c r="F19" s="685"/>
      <c r="G19" s="683" t="s">
        <v>35</v>
      </c>
      <c r="H19" s="238" t="s">
        <v>5</v>
      </c>
      <c r="I19" s="696" t="s">
        <v>606</v>
      </c>
      <c r="J19" s="683" t="s">
        <v>6</v>
      </c>
    </row>
    <row r="20" spans="1:12" ht="31.5" x14ac:dyDescent="0.25">
      <c r="A20" s="683"/>
      <c r="B20" s="683"/>
      <c r="C20" s="238"/>
      <c r="D20" s="683"/>
      <c r="E20" s="238" t="s">
        <v>208</v>
      </c>
      <c r="F20" s="238" t="s">
        <v>211</v>
      </c>
      <c r="G20" s="683"/>
      <c r="H20" s="231" t="s">
        <v>183</v>
      </c>
      <c r="I20" s="697"/>
      <c r="J20" s="683"/>
    </row>
    <row r="21" spans="1:12" x14ac:dyDescent="0.25">
      <c r="A21" s="683"/>
      <c r="B21" s="683"/>
      <c r="C21" s="238"/>
      <c r="D21" s="683"/>
      <c r="E21" s="238" t="s">
        <v>4</v>
      </c>
      <c r="F21" s="169"/>
      <c r="G21" s="683"/>
      <c r="H21" s="238" t="s">
        <v>209</v>
      </c>
      <c r="I21" s="478"/>
      <c r="J21" s="683"/>
    </row>
    <row r="22" spans="1:12" x14ac:dyDescent="0.25">
      <c r="A22" s="683">
        <v>1</v>
      </c>
      <c r="B22" s="683">
        <v>2</v>
      </c>
      <c r="C22" s="238"/>
      <c r="D22" s="683">
        <v>3</v>
      </c>
      <c r="E22" s="683" t="s">
        <v>215</v>
      </c>
      <c r="F22" s="696">
        <v>5</v>
      </c>
      <c r="G22" s="576" t="s">
        <v>7</v>
      </c>
      <c r="H22" s="231" t="s">
        <v>184</v>
      </c>
      <c r="I22" s="475"/>
      <c r="J22" s="576" t="s">
        <v>185</v>
      </c>
    </row>
    <row r="23" spans="1:12" x14ac:dyDescent="0.25">
      <c r="A23" s="683"/>
      <c r="B23" s="683"/>
      <c r="C23" s="238"/>
      <c r="D23" s="683"/>
      <c r="E23" s="683"/>
      <c r="F23" s="697"/>
      <c r="G23" s="576"/>
      <c r="H23" s="54">
        <v>1775.4</v>
      </c>
      <c r="I23" s="54"/>
      <c r="J23" s="576"/>
    </row>
    <row r="24" spans="1:12" x14ac:dyDescent="0.25">
      <c r="A24" s="75" t="s">
        <v>102</v>
      </c>
      <c r="B24" s="92">
        <f>'инновации+добровольчество'!B25</f>
        <v>53969.5</v>
      </c>
      <c r="C24" s="90"/>
      <c r="D24" s="238">
        <f>1*D18</f>
        <v>0.40200000000000002</v>
      </c>
      <c r="E24" s="76">
        <f>D24*1775.4</f>
        <v>713.71080000000006</v>
      </c>
      <c r="F24" s="77">
        <v>1</v>
      </c>
      <c r="G24" s="76">
        <f>E24/F24</f>
        <v>713.71080000000006</v>
      </c>
      <c r="H24" s="76">
        <f>B24*1.302/1775.4*12</f>
        <v>474.94619128083815</v>
      </c>
      <c r="I24" s="76">
        <v>1440.83</v>
      </c>
      <c r="J24" s="76">
        <f>G24*H24+I24</f>
        <v>340415.05613600009</v>
      </c>
    </row>
    <row r="25" spans="1:12" x14ac:dyDescent="0.25">
      <c r="A25" s="78" t="str">
        <f>A10</f>
        <v>Специалист по работе с молодежью</v>
      </c>
      <c r="B25" s="37">
        <f>'инновации+добровольчество'!B26</f>
        <v>38488.199999999997</v>
      </c>
      <c r="C25" s="194"/>
      <c r="D25" s="238">
        <f>D18*5.6</f>
        <v>2.2511999999999999</v>
      </c>
      <c r="E25" s="76">
        <f>D25*1775.4</f>
        <v>3996.7804799999999</v>
      </c>
      <c r="F25" s="77">
        <v>1</v>
      </c>
      <c r="G25" s="76">
        <f>E25/F25</f>
        <v>3996.7804799999999</v>
      </c>
      <c r="H25" s="76">
        <f>B25*1.302/1775.4*12</f>
        <v>338.70656573166605</v>
      </c>
      <c r="I25" s="76">
        <v>8068.66</v>
      </c>
      <c r="J25" s="76">
        <f>G25*H25+12333.49-482.4+I25</f>
        <v>1373655.5403641597</v>
      </c>
    </row>
    <row r="26" spans="1:12" ht="18.75" x14ac:dyDescent="0.3">
      <c r="A26" s="684" t="s">
        <v>8</v>
      </c>
      <c r="B26" s="722"/>
      <c r="C26" s="722"/>
      <c r="D26" s="722"/>
      <c r="E26" s="722"/>
      <c r="F26" s="722"/>
      <c r="G26" s="722"/>
      <c r="H26" s="685"/>
      <c r="I26" s="172"/>
      <c r="J26" s="421">
        <f>SUM(J24:J25)</f>
        <v>1714070.5965001597</v>
      </c>
      <c r="K26" s="195">
        <f>J26+H101</f>
        <v>2562061.1474561598</v>
      </c>
      <c r="L26" s="196" t="s">
        <v>113</v>
      </c>
    </row>
    <row r="27" spans="1:12" ht="16.5" hidden="1" x14ac:dyDescent="0.25">
      <c r="A27" s="588" t="s">
        <v>178</v>
      </c>
      <c r="B27" s="588"/>
      <c r="C27" s="588"/>
      <c r="D27" s="588"/>
      <c r="E27" s="588"/>
      <c r="F27" s="588"/>
      <c r="G27" s="588"/>
      <c r="H27" s="588"/>
      <c r="I27" s="197"/>
      <c r="J27" s="195"/>
      <c r="K27" s="196"/>
    </row>
    <row r="28" spans="1:12" ht="16.5" hidden="1" x14ac:dyDescent="0.25">
      <c r="A28" s="550" t="s">
        <v>65</v>
      </c>
      <c r="B28" s="555" t="s">
        <v>167</v>
      </c>
      <c r="C28" s="555"/>
      <c r="D28" s="555" t="s">
        <v>168</v>
      </c>
      <c r="E28" s="555"/>
      <c r="F28" s="555"/>
      <c r="G28" s="556"/>
      <c r="H28" s="556"/>
      <c r="I28" s="197"/>
      <c r="J28" s="195"/>
      <c r="K28" s="196"/>
    </row>
    <row r="29" spans="1:12" ht="16.5" hidden="1" customHeight="1" x14ac:dyDescent="0.25">
      <c r="A29" s="554"/>
      <c r="B29" s="555"/>
      <c r="C29" s="555"/>
      <c r="D29" s="555" t="s">
        <v>169</v>
      </c>
      <c r="E29" s="550" t="s">
        <v>170</v>
      </c>
      <c r="F29" s="681" t="s">
        <v>171</v>
      </c>
      <c r="G29" s="550" t="s">
        <v>177</v>
      </c>
      <c r="H29" s="550" t="s">
        <v>6</v>
      </c>
      <c r="I29" s="197"/>
      <c r="J29" s="195"/>
      <c r="K29" s="196"/>
    </row>
    <row r="30" spans="1:12" ht="16.5" hidden="1" x14ac:dyDescent="0.25">
      <c r="A30" s="551"/>
      <c r="B30" s="555"/>
      <c r="C30" s="555"/>
      <c r="D30" s="555"/>
      <c r="E30" s="551"/>
      <c r="F30" s="607"/>
      <c r="G30" s="551"/>
      <c r="H30" s="551"/>
      <c r="I30" s="197"/>
      <c r="J30" s="195"/>
      <c r="K30" s="196"/>
    </row>
    <row r="31" spans="1:12" ht="16.5" hidden="1" x14ac:dyDescent="0.25">
      <c r="A31" s="234">
        <v>1</v>
      </c>
      <c r="B31" s="552">
        <v>2</v>
      </c>
      <c r="C31" s="553"/>
      <c r="D31" s="234">
        <v>3</v>
      </c>
      <c r="E31" s="234">
        <v>4</v>
      </c>
      <c r="F31" s="234">
        <v>5</v>
      </c>
      <c r="G31" s="234">
        <v>6</v>
      </c>
      <c r="H31" s="234">
        <v>7</v>
      </c>
      <c r="I31" s="197"/>
      <c r="J31" s="195"/>
      <c r="K31" s="196"/>
    </row>
    <row r="32" spans="1:12" ht="16.5" hidden="1" x14ac:dyDescent="0.25">
      <c r="A32" s="229" t="s">
        <v>102</v>
      </c>
      <c r="B32" s="229">
        <v>0.39300000000000002</v>
      </c>
      <c r="C32" s="230">
        <v>1</v>
      </c>
      <c r="D32" s="162">
        <v>2074.6</v>
      </c>
      <c r="E32" s="121">
        <f t="shared" ref="E32:E33" si="0">D32*12</f>
        <v>24895.199999999997</v>
      </c>
      <c r="F32" s="162">
        <f>18363.9*0.393</f>
        <v>7217.0127000000011</v>
      </c>
      <c r="G32" s="198">
        <f>F32*30.2%</f>
        <v>2179.5378354000004</v>
      </c>
      <c r="H32" s="198">
        <f>F32+G32</f>
        <v>9396.5505354000015</v>
      </c>
      <c r="I32" s="197"/>
      <c r="J32" s="195"/>
      <c r="K32" s="196"/>
    </row>
    <row r="33" spans="1:11" ht="15.6" hidden="1" customHeight="1" x14ac:dyDescent="0.25">
      <c r="A33" s="229" t="s">
        <v>173</v>
      </c>
      <c r="B33" s="552">
        <f>5.6*0.393</f>
        <v>2.2008000000000001</v>
      </c>
      <c r="C33" s="553"/>
      <c r="D33" s="162">
        <f>1302.85*B33</f>
        <v>2867.3122800000001</v>
      </c>
      <c r="E33" s="121">
        <f t="shared" si="0"/>
        <v>34407.747360000001</v>
      </c>
      <c r="F33" s="162">
        <f>64311.87*0.393</f>
        <v>25274.564910000001</v>
      </c>
      <c r="G33" s="198">
        <f>F33*30.2%</f>
        <v>7632.9186028200002</v>
      </c>
      <c r="H33" s="198">
        <f>F33+G33</f>
        <v>32907.483512819999</v>
      </c>
    </row>
    <row r="34" spans="1:11" ht="18.75" hidden="1" x14ac:dyDescent="0.25">
      <c r="A34" s="235"/>
      <c r="B34" s="549">
        <f>SUM(B32:C33)</f>
        <v>3.5937999999999999</v>
      </c>
      <c r="C34" s="549"/>
      <c r="D34" s="138">
        <f>SUM(D32:D33)</f>
        <v>4941.9122800000005</v>
      </c>
      <c r="E34" s="138">
        <f>SUM(E32:E33)</f>
        <v>59302.947359999998</v>
      </c>
      <c r="F34" s="138">
        <f>SUM(F32:F33)</f>
        <v>32491.57761</v>
      </c>
      <c r="G34" s="138">
        <f>SUM(G32:G33)</f>
        <v>9812.4564382200006</v>
      </c>
      <c r="H34" s="263"/>
      <c r="I34" s="179"/>
    </row>
    <row r="35" spans="1:11" s="45" customFormat="1" ht="14.45" hidden="1" customHeight="1" x14ac:dyDescent="0.25">
      <c r="A35" s="588" t="s">
        <v>182</v>
      </c>
      <c r="B35" s="588"/>
      <c r="C35" s="588"/>
      <c r="D35" s="588"/>
      <c r="E35" s="588"/>
      <c r="F35" s="588"/>
      <c r="G35" s="588"/>
      <c r="H35" s="588"/>
      <c r="I35" s="163"/>
      <c r="J35" s="163"/>
    </row>
    <row r="36" spans="1:11" s="45" customFormat="1" ht="28.9" hidden="1" customHeight="1" x14ac:dyDescent="0.25">
      <c r="A36" s="550" t="s">
        <v>65</v>
      </c>
      <c r="B36" s="555" t="s">
        <v>167</v>
      </c>
      <c r="C36" s="555"/>
      <c r="D36" s="579" t="s">
        <v>168</v>
      </c>
      <c r="E36" s="580"/>
      <c r="F36" s="236"/>
    </row>
    <row r="37" spans="1:11" s="45" customFormat="1" ht="14.45" hidden="1" customHeight="1" x14ac:dyDescent="0.25">
      <c r="A37" s="554"/>
      <c r="B37" s="555"/>
      <c r="C37" s="555"/>
      <c r="D37" s="555" t="s">
        <v>169</v>
      </c>
      <c r="E37" s="550" t="s">
        <v>177</v>
      </c>
      <c r="F37" s="550" t="s">
        <v>181</v>
      </c>
    </row>
    <row r="38" spans="1:11" s="45" customFormat="1" ht="15" hidden="1" x14ac:dyDescent="0.25">
      <c r="A38" s="551"/>
      <c r="B38" s="555"/>
      <c r="C38" s="555"/>
      <c r="D38" s="555"/>
      <c r="E38" s="551"/>
      <c r="F38" s="551"/>
    </row>
    <row r="39" spans="1:11" s="45" customFormat="1" ht="15" hidden="1" x14ac:dyDescent="0.25">
      <c r="A39" s="234">
        <v>1</v>
      </c>
      <c r="B39" s="552">
        <v>2</v>
      </c>
      <c r="C39" s="553"/>
      <c r="D39" s="234">
        <v>3</v>
      </c>
      <c r="E39" s="234">
        <v>6</v>
      </c>
      <c r="F39" s="234">
        <v>7</v>
      </c>
    </row>
    <row r="40" spans="1:11" s="45" customFormat="1" ht="15" hidden="1" x14ac:dyDescent="0.25">
      <c r="A40" s="229" t="s">
        <v>173</v>
      </c>
      <c r="B40" s="552">
        <f>B33</f>
        <v>2.2008000000000001</v>
      </c>
      <c r="C40" s="553"/>
      <c r="D40" s="162">
        <v>4218.1400000000003</v>
      </c>
      <c r="E40" s="198">
        <f>D40*30.2%</f>
        <v>1273.8782800000001</v>
      </c>
      <c r="F40" s="198">
        <f>(E40+D40)*B40*12+27.46</f>
        <v>145069.46596748798</v>
      </c>
    </row>
    <row r="41" spans="1:11" s="45" customFormat="1" ht="18.75" hidden="1" x14ac:dyDescent="0.25">
      <c r="A41" s="235"/>
      <c r="B41" s="549">
        <f>SUM(B40:C40)</f>
        <v>2.2008000000000001</v>
      </c>
      <c r="C41" s="549"/>
      <c r="D41" s="138">
        <f>SUM(D40:D40)</f>
        <v>4218.1400000000003</v>
      </c>
      <c r="E41" s="138">
        <f>SUM(E40:E40)</f>
        <v>1273.8782800000001</v>
      </c>
      <c r="F41" s="263"/>
    </row>
    <row r="42" spans="1:11" x14ac:dyDescent="0.25">
      <c r="D42" s="170">
        <f>D18</f>
        <v>0.40200000000000002</v>
      </c>
      <c r="K42" s="199"/>
    </row>
    <row r="43" spans="1:11" ht="24.6" customHeight="1" x14ac:dyDescent="0.25">
      <c r="A43" s="683" t="s">
        <v>132</v>
      </c>
      <c r="B43" s="683"/>
      <c r="C43" s="238"/>
      <c r="D43" s="238" t="s">
        <v>11</v>
      </c>
      <c r="E43" s="238" t="s">
        <v>51</v>
      </c>
      <c r="F43" s="238" t="s">
        <v>15</v>
      </c>
      <c r="G43" s="239" t="s">
        <v>6</v>
      </c>
    </row>
    <row r="44" spans="1:11" x14ac:dyDescent="0.25">
      <c r="A44" s="684">
        <v>1</v>
      </c>
      <c r="B44" s="685"/>
      <c r="C44" s="237"/>
      <c r="D44" s="238">
        <v>2</v>
      </c>
      <c r="E44" s="77">
        <v>3</v>
      </c>
      <c r="F44" s="238">
        <v>4</v>
      </c>
      <c r="G44" s="80" t="s">
        <v>73</v>
      </c>
    </row>
    <row r="45" spans="1:11" x14ac:dyDescent="0.25">
      <c r="A45" s="686" t="str">
        <f>'инновации+добровольчество'!A53</f>
        <v>Суточные</v>
      </c>
      <c r="B45" s="687"/>
      <c r="C45" s="241"/>
      <c r="D45" s="238" t="str">
        <f>'инновации+добровольчество'!D53</f>
        <v>сутки</v>
      </c>
      <c r="E45" s="269">
        <f>D42</f>
        <v>0.40200000000000002</v>
      </c>
      <c r="F45" s="249">
        <f>'инновации+добровольчество'!F53</f>
        <v>13500</v>
      </c>
      <c r="G45" s="86">
        <f>E45*F45</f>
        <v>5427</v>
      </c>
      <c r="I45" s="179"/>
      <c r="J45" s="7">
        <f>2547991.16-482.4+14552.39</f>
        <v>2562061.1500000004</v>
      </c>
      <c r="K45" s="195" t="s">
        <v>114</v>
      </c>
    </row>
    <row r="46" spans="1:11" x14ac:dyDescent="0.25">
      <c r="A46" s="686" t="str">
        <f>'инновации+добровольчество'!A54</f>
        <v>Проезд</v>
      </c>
      <c r="B46" s="687"/>
      <c r="C46" s="241"/>
      <c r="D46" s="238" t="str">
        <f>'инновации+добровольчество'!D54</f>
        <v xml:space="preserve">Ед. </v>
      </c>
      <c r="E46" s="269">
        <f>E45</f>
        <v>0.40200000000000002</v>
      </c>
      <c r="F46" s="249">
        <f>'инновации+добровольчество'!F54</f>
        <v>60000</v>
      </c>
      <c r="G46" s="86">
        <f>E46*F46</f>
        <v>24120</v>
      </c>
      <c r="J46" s="179">
        <f>J45-K26</f>
        <v>2.5438405573368073E-3</v>
      </c>
      <c r="K46" s="195" t="s">
        <v>128</v>
      </c>
    </row>
    <row r="47" spans="1:11" x14ac:dyDescent="0.25">
      <c r="A47" s="686" t="str">
        <f>'инновации+добровольчество'!A55</f>
        <v>Проживание (гостиница)</v>
      </c>
      <c r="B47" s="687"/>
      <c r="C47" s="241"/>
      <c r="D47" s="238" t="str">
        <f>'инновации+добровольчество'!D55</f>
        <v>сутки</v>
      </c>
      <c r="E47" s="269">
        <f>E45</f>
        <v>0.40200000000000002</v>
      </c>
      <c r="F47" s="249">
        <f>'инновации+добровольчество'!F55</f>
        <v>7499.98</v>
      </c>
      <c r="G47" s="86">
        <f>E47*F47</f>
        <v>3014.9919599999998</v>
      </c>
    </row>
    <row r="48" spans="1:11" x14ac:dyDescent="0.25">
      <c r="A48" s="240" t="str">
        <f>'инновации+добровольчество'!A56</f>
        <v>Проживание (квартирные)</v>
      </c>
      <c r="B48" s="268"/>
      <c r="C48" s="268"/>
      <c r="D48" s="238" t="str">
        <f>'инновации+добровольчество'!D56</f>
        <v>сутки</v>
      </c>
      <c r="E48" s="269">
        <f>E45</f>
        <v>0.40200000000000002</v>
      </c>
      <c r="F48" s="249">
        <f>'инновации+добровольчество'!F56</f>
        <v>3375</v>
      </c>
      <c r="G48" s="86">
        <f>E48*F48</f>
        <v>1356.75</v>
      </c>
    </row>
    <row r="49" spans="1:11" ht="18.75" x14ac:dyDescent="0.25">
      <c r="A49" s="712" t="s">
        <v>62</v>
      </c>
      <c r="B49" s="713"/>
      <c r="C49" s="713"/>
      <c r="D49" s="713"/>
      <c r="E49" s="713"/>
      <c r="F49" s="714"/>
      <c r="G49" s="410">
        <f>SUM(G45:G48)</f>
        <v>33918.741959999999</v>
      </c>
    </row>
    <row r="50" spans="1:11" x14ac:dyDescent="0.25">
      <c r="A50" s="699" t="s">
        <v>130</v>
      </c>
      <c r="B50" s="699"/>
      <c r="C50" s="699"/>
      <c r="D50" s="699"/>
      <c r="E50" s="699"/>
      <c r="F50" s="699"/>
    </row>
    <row r="51" spans="1:11" ht="15.6" customHeight="1" x14ac:dyDescent="0.25">
      <c r="D51" s="170"/>
      <c r="F51" s="171">
        <v>1</v>
      </c>
    </row>
    <row r="52" spans="1:11" ht="12" customHeight="1" x14ac:dyDescent="0.25">
      <c r="A52" s="724" t="s">
        <v>133</v>
      </c>
      <c r="B52" s="725"/>
      <c r="C52" s="238"/>
      <c r="D52" s="696" t="s">
        <v>11</v>
      </c>
      <c r="E52" s="696" t="s">
        <v>51</v>
      </c>
      <c r="F52" s="696" t="s">
        <v>15</v>
      </c>
      <c r="G52" s="688" t="s">
        <v>6</v>
      </c>
      <c r="K52" s="199"/>
    </row>
    <row r="53" spans="1:11" ht="9" hidden="1" customHeight="1" x14ac:dyDescent="0.25">
      <c r="A53" s="726"/>
      <c r="B53" s="727"/>
      <c r="C53" s="238"/>
      <c r="D53" s="697"/>
      <c r="E53" s="697"/>
      <c r="F53" s="697"/>
      <c r="G53" s="689"/>
      <c r="K53" s="171"/>
    </row>
    <row r="54" spans="1:11" x14ac:dyDescent="0.25">
      <c r="A54" s="684">
        <v>1</v>
      </c>
      <c r="B54" s="685"/>
      <c r="C54" s="237"/>
      <c r="D54" s="238">
        <v>2</v>
      </c>
      <c r="E54" s="238">
        <v>3</v>
      </c>
      <c r="F54" s="238">
        <v>4</v>
      </c>
      <c r="G54" s="80" t="s">
        <v>73</v>
      </c>
    </row>
    <row r="55" spans="1:11" x14ac:dyDescent="0.25">
      <c r="A55" s="715" t="s">
        <v>245</v>
      </c>
      <c r="B55" s="715"/>
      <c r="C55" s="352"/>
      <c r="D55" s="356"/>
      <c r="E55" s="433"/>
      <c r="F55" s="442"/>
      <c r="G55" s="434"/>
    </row>
    <row r="56" spans="1:11" x14ac:dyDescent="0.25">
      <c r="A56" s="716" t="s">
        <v>526</v>
      </c>
      <c r="B56" s="716"/>
      <c r="C56" s="97"/>
      <c r="D56" s="180" t="s">
        <v>91</v>
      </c>
      <c r="E56" s="95">
        <v>12</v>
      </c>
      <c r="F56" s="96">
        <v>600</v>
      </c>
      <c r="G56" s="434">
        <f>E56*F56</f>
        <v>7200</v>
      </c>
    </row>
    <row r="57" spans="1:11" x14ac:dyDescent="0.25">
      <c r="A57" s="717" t="s">
        <v>129</v>
      </c>
      <c r="B57" s="717"/>
      <c r="C57" s="97"/>
      <c r="D57" s="180" t="s">
        <v>243</v>
      </c>
      <c r="E57" s="95">
        <v>13</v>
      </c>
      <c r="F57" s="96">
        <v>1400</v>
      </c>
      <c r="G57" s="434">
        <f t="shared" ref="G57:G86" si="1">E57*F57</f>
        <v>18200</v>
      </c>
    </row>
    <row r="58" spans="1:11" x14ac:dyDescent="0.25">
      <c r="A58" s="715" t="s">
        <v>246</v>
      </c>
      <c r="B58" s="715"/>
      <c r="C58" s="352"/>
      <c r="D58" s="356"/>
      <c r="E58" s="95"/>
      <c r="F58" s="96"/>
      <c r="G58" s="434"/>
    </row>
    <row r="59" spans="1:11" x14ac:dyDescent="0.25">
      <c r="A59" s="97" t="s">
        <v>247</v>
      </c>
      <c r="B59" s="97"/>
      <c r="C59" s="97"/>
      <c r="D59" s="180" t="s">
        <v>553</v>
      </c>
      <c r="E59" s="95">
        <v>6</v>
      </c>
      <c r="F59" s="96">
        <v>580</v>
      </c>
      <c r="G59" s="434">
        <f t="shared" si="1"/>
        <v>3480</v>
      </c>
    </row>
    <row r="60" spans="1:11" x14ac:dyDescent="0.25">
      <c r="A60" s="97" t="s">
        <v>248</v>
      </c>
      <c r="B60" s="97"/>
      <c r="C60" s="97"/>
      <c r="D60" s="180" t="s">
        <v>91</v>
      </c>
      <c r="E60" s="95">
        <v>7</v>
      </c>
      <c r="F60" s="96">
        <v>1250</v>
      </c>
      <c r="G60" s="434">
        <f t="shared" si="1"/>
        <v>8750</v>
      </c>
    </row>
    <row r="61" spans="1:11" x14ac:dyDescent="0.25">
      <c r="A61" s="437" t="s">
        <v>249</v>
      </c>
      <c r="B61" s="352"/>
      <c r="C61" s="352"/>
      <c r="D61" s="356"/>
      <c r="E61" s="433"/>
      <c r="F61" s="442"/>
      <c r="G61" s="434"/>
    </row>
    <row r="62" spans="1:11" x14ac:dyDescent="0.25">
      <c r="A62" s="353" t="s">
        <v>527</v>
      </c>
      <c r="B62" s="353"/>
      <c r="C62" s="353"/>
      <c r="D62" s="357" t="s">
        <v>115</v>
      </c>
      <c r="E62" s="95">
        <v>10</v>
      </c>
      <c r="F62" s="96">
        <v>800</v>
      </c>
      <c r="G62" s="434">
        <f t="shared" si="1"/>
        <v>8000</v>
      </c>
    </row>
    <row r="63" spans="1:11" x14ac:dyDescent="0.25">
      <c r="A63" s="436" t="s">
        <v>528</v>
      </c>
      <c r="B63" s="97"/>
      <c r="C63" s="97"/>
      <c r="D63" s="180" t="s">
        <v>115</v>
      </c>
      <c r="E63" s="95">
        <v>3</v>
      </c>
      <c r="F63" s="96">
        <v>650</v>
      </c>
      <c r="G63" s="434">
        <f t="shared" si="1"/>
        <v>1950</v>
      </c>
    </row>
    <row r="64" spans="1:11" x14ac:dyDescent="0.25">
      <c r="A64" s="97" t="s">
        <v>529</v>
      </c>
      <c r="B64" s="97"/>
      <c r="C64" s="97"/>
      <c r="D64" s="180" t="s">
        <v>134</v>
      </c>
      <c r="E64" s="95">
        <v>4</v>
      </c>
      <c r="F64" s="96">
        <v>900</v>
      </c>
      <c r="G64" s="434">
        <f t="shared" si="1"/>
        <v>3600</v>
      </c>
    </row>
    <row r="65" spans="1:7" x14ac:dyDescent="0.25">
      <c r="A65" s="437" t="s">
        <v>250</v>
      </c>
      <c r="B65" s="352"/>
      <c r="C65" s="352"/>
      <c r="D65" s="356"/>
      <c r="E65" s="433"/>
      <c r="F65" s="442"/>
      <c r="G65" s="434"/>
    </row>
    <row r="66" spans="1:7" x14ac:dyDescent="0.25">
      <c r="A66" s="438" t="s">
        <v>530</v>
      </c>
      <c r="B66" s="351"/>
      <c r="C66" s="351"/>
      <c r="D66" s="358" t="s">
        <v>91</v>
      </c>
      <c r="E66" s="95">
        <v>300</v>
      </c>
      <c r="F66" s="96">
        <v>32</v>
      </c>
      <c r="G66" s="434">
        <f t="shared" si="1"/>
        <v>9600</v>
      </c>
    </row>
    <row r="67" spans="1:7" x14ac:dyDescent="0.25">
      <c r="A67" s="97" t="s">
        <v>531</v>
      </c>
      <c r="B67" s="97"/>
      <c r="C67" s="97"/>
      <c r="D67" s="180" t="s">
        <v>91</v>
      </c>
      <c r="E67" s="95">
        <v>330</v>
      </c>
      <c r="F67" s="96">
        <v>9</v>
      </c>
      <c r="G67" s="434">
        <f t="shared" si="1"/>
        <v>2970</v>
      </c>
    </row>
    <row r="68" spans="1:7" x14ac:dyDescent="0.25">
      <c r="A68" s="97" t="s">
        <v>251</v>
      </c>
      <c r="B68" s="97"/>
      <c r="C68" s="97"/>
      <c r="D68" s="180" t="s">
        <v>91</v>
      </c>
      <c r="E68" s="95">
        <v>3</v>
      </c>
      <c r="F68" s="96">
        <v>3000</v>
      </c>
      <c r="G68" s="434">
        <f t="shared" si="1"/>
        <v>9000</v>
      </c>
    </row>
    <row r="69" spans="1:7" x14ac:dyDescent="0.25">
      <c r="A69" s="438" t="s">
        <v>551</v>
      </c>
      <c r="B69" s="97"/>
      <c r="C69" s="97"/>
      <c r="D69" s="180" t="s">
        <v>91</v>
      </c>
      <c r="E69" s="95">
        <v>3</v>
      </c>
      <c r="F69" s="96">
        <v>2200</v>
      </c>
      <c r="G69" s="434">
        <f t="shared" si="1"/>
        <v>6600</v>
      </c>
    </row>
    <row r="70" spans="1:7" x14ac:dyDescent="0.25">
      <c r="A70" s="438" t="s">
        <v>551</v>
      </c>
      <c r="B70" s="352"/>
      <c r="C70" s="352"/>
      <c r="D70" s="356" t="s">
        <v>91</v>
      </c>
      <c r="E70" s="95">
        <v>3</v>
      </c>
      <c r="F70" s="96">
        <v>2200</v>
      </c>
      <c r="G70" s="434">
        <f t="shared" si="1"/>
        <v>6600</v>
      </c>
    </row>
    <row r="71" spans="1:7" x14ac:dyDescent="0.25">
      <c r="A71" s="97" t="s">
        <v>552</v>
      </c>
      <c r="B71" s="97"/>
      <c r="C71" s="97"/>
      <c r="D71" s="180" t="s">
        <v>91</v>
      </c>
      <c r="E71" s="95">
        <v>5</v>
      </c>
      <c r="F71" s="96">
        <v>900</v>
      </c>
      <c r="G71" s="434">
        <f t="shared" si="1"/>
        <v>4500</v>
      </c>
    </row>
    <row r="72" spans="1:7" x14ac:dyDescent="0.25">
      <c r="A72" s="437" t="s">
        <v>252</v>
      </c>
      <c r="B72" s="97"/>
      <c r="C72" s="97"/>
      <c r="D72" s="180"/>
      <c r="E72" s="433"/>
      <c r="F72" s="442"/>
      <c r="G72" s="434"/>
    </row>
    <row r="73" spans="1:7" x14ac:dyDescent="0.25">
      <c r="A73" s="97" t="s">
        <v>223</v>
      </c>
      <c r="B73" s="435"/>
      <c r="C73" s="352"/>
      <c r="D73" s="356" t="s">
        <v>91</v>
      </c>
      <c r="E73" s="95">
        <v>4</v>
      </c>
      <c r="F73" s="96">
        <v>2500</v>
      </c>
      <c r="G73" s="434">
        <f t="shared" si="1"/>
        <v>10000</v>
      </c>
    </row>
    <row r="74" spans="1:7" x14ac:dyDescent="0.25">
      <c r="A74" s="97" t="s">
        <v>251</v>
      </c>
      <c r="B74" s="97"/>
      <c r="C74" s="97"/>
      <c r="D74" s="180" t="s">
        <v>91</v>
      </c>
      <c r="E74" s="95">
        <v>1</v>
      </c>
      <c r="F74" s="96">
        <v>3450</v>
      </c>
      <c r="G74" s="434">
        <f t="shared" si="1"/>
        <v>3450</v>
      </c>
    </row>
    <row r="75" spans="1:7" x14ac:dyDescent="0.25">
      <c r="A75" s="437" t="s">
        <v>253</v>
      </c>
      <c r="B75" s="97"/>
      <c r="C75" s="97"/>
      <c r="D75" s="180"/>
      <c r="E75" s="433"/>
      <c r="F75" s="442"/>
      <c r="G75" s="434"/>
    </row>
    <row r="76" spans="1:7" x14ac:dyDescent="0.25">
      <c r="A76" s="97" t="s">
        <v>223</v>
      </c>
      <c r="B76" s="97"/>
      <c r="C76" s="97"/>
      <c r="D76" s="180" t="s">
        <v>91</v>
      </c>
      <c r="E76" s="95">
        <v>3</v>
      </c>
      <c r="F76" s="96">
        <v>1500</v>
      </c>
      <c r="G76" s="434">
        <f t="shared" si="1"/>
        <v>4500</v>
      </c>
    </row>
    <row r="77" spans="1:7" x14ac:dyDescent="0.25">
      <c r="A77" s="97" t="s">
        <v>254</v>
      </c>
      <c r="B77" s="352"/>
      <c r="C77" s="352"/>
      <c r="D77" s="356" t="s">
        <v>91</v>
      </c>
      <c r="E77" s="95">
        <v>10</v>
      </c>
      <c r="F77" s="96">
        <v>450</v>
      </c>
      <c r="G77" s="434">
        <f t="shared" si="1"/>
        <v>4500</v>
      </c>
    </row>
    <row r="78" spans="1:7" x14ac:dyDescent="0.25">
      <c r="A78" s="97" t="s">
        <v>251</v>
      </c>
      <c r="B78" s="97"/>
      <c r="C78" s="97"/>
      <c r="D78" s="180" t="s">
        <v>91</v>
      </c>
      <c r="E78" s="95">
        <v>1</v>
      </c>
      <c r="F78" s="96">
        <v>1380</v>
      </c>
      <c r="G78" s="434">
        <f t="shared" si="1"/>
        <v>1380</v>
      </c>
    </row>
    <row r="79" spans="1:7" x14ac:dyDescent="0.25">
      <c r="A79" s="437" t="s">
        <v>255</v>
      </c>
      <c r="B79" s="97"/>
      <c r="C79" s="97"/>
      <c r="D79" s="180"/>
      <c r="E79" s="433"/>
      <c r="F79" s="442"/>
      <c r="G79" s="434"/>
    </row>
    <row r="80" spans="1:7" ht="27.75" customHeight="1" x14ac:dyDescent="0.25">
      <c r="A80" s="97" t="s">
        <v>223</v>
      </c>
      <c r="B80" s="97"/>
      <c r="C80" s="97"/>
      <c r="D80" s="180" t="s">
        <v>91</v>
      </c>
      <c r="E80" s="95">
        <v>3</v>
      </c>
      <c r="F80" s="96">
        <v>1500</v>
      </c>
      <c r="G80" s="434">
        <f t="shared" si="1"/>
        <v>4500</v>
      </c>
    </row>
    <row r="81" spans="1:8" ht="30" customHeight="1" x14ac:dyDescent="0.25">
      <c r="A81" s="97" t="s">
        <v>256</v>
      </c>
      <c r="B81" s="354"/>
      <c r="C81" s="354"/>
      <c r="D81" s="359" t="s">
        <v>91</v>
      </c>
      <c r="E81" s="95">
        <v>6</v>
      </c>
      <c r="F81" s="96">
        <v>750</v>
      </c>
      <c r="G81" s="434">
        <f t="shared" si="1"/>
        <v>4500</v>
      </c>
    </row>
    <row r="82" spans="1:8" x14ac:dyDescent="0.25">
      <c r="A82" s="97" t="s">
        <v>251</v>
      </c>
      <c r="B82" s="97"/>
      <c r="C82" s="97"/>
      <c r="D82" s="180" t="s">
        <v>91</v>
      </c>
      <c r="E82" s="95">
        <v>1</v>
      </c>
      <c r="F82" s="96">
        <v>2500</v>
      </c>
      <c r="G82" s="434">
        <f t="shared" si="1"/>
        <v>2500</v>
      </c>
    </row>
    <row r="83" spans="1:8" ht="25.5" x14ac:dyDescent="0.25">
      <c r="A83" s="439" t="s">
        <v>257</v>
      </c>
      <c r="B83" s="352"/>
      <c r="C83" s="352"/>
      <c r="D83" s="356"/>
      <c r="E83" s="95"/>
      <c r="F83" s="96"/>
      <c r="G83" s="434"/>
    </row>
    <row r="84" spans="1:8" x14ac:dyDescent="0.25">
      <c r="A84" s="97" t="s">
        <v>223</v>
      </c>
      <c r="B84" s="436"/>
      <c r="C84" s="97"/>
      <c r="D84" s="180" t="s">
        <v>91</v>
      </c>
      <c r="E84" s="95">
        <v>3</v>
      </c>
      <c r="F84" s="96">
        <v>1500</v>
      </c>
      <c r="G84" s="434">
        <f t="shared" si="1"/>
        <v>4500</v>
      </c>
    </row>
    <row r="85" spans="1:8" x14ac:dyDescent="0.25">
      <c r="A85" s="437" t="s">
        <v>225</v>
      </c>
      <c r="B85" s="97"/>
      <c r="C85" s="432"/>
      <c r="D85" s="180"/>
      <c r="E85" s="433"/>
      <c r="F85" s="442"/>
      <c r="G85" s="434"/>
    </row>
    <row r="86" spans="1:8" x14ac:dyDescent="0.25">
      <c r="A86" s="97" t="s">
        <v>226</v>
      </c>
      <c r="B86" s="436"/>
      <c r="C86" s="432"/>
      <c r="D86" s="180" t="s">
        <v>91</v>
      </c>
      <c r="E86" s="95">
        <v>150</v>
      </c>
      <c r="F86" s="96">
        <v>97</v>
      </c>
      <c r="G86" s="434">
        <f t="shared" si="1"/>
        <v>14550</v>
      </c>
    </row>
    <row r="87" spans="1:8" ht="18.75" x14ac:dyDescent="0.25">
      <c r="G87" s="443">
        <f>SUM(G56:G86)</f>
        <v>144830</v>
      </c>
    </row>
    <row r="88" spans="1:8" s="441" customFormat="1" ht="18.75" x14ac:dyDescent="0.25">
      <c r="A88" s="440"/>
      <c r="B88" s="440"/>
      <c r="C88" s="440"/>
      <c r="D88" s="440"/>
      <c r="E88" s="440"/>
      <c r="F88" s="440"/>
      <c r="G88" s="349"/>
    </row>
    <row r="89" spans="1:8" s="441" customFormat="1" ht="18.75" x14ac:dyDescent="0.25">
      <c r="A89" s="440"/>
      <c r="B89" s="440"/>
      <c r="C89" s="440"/>
      <c r="D89" s="440"/>
      <c r="E89" s="440"/>
      <c r="F89" s="440"/>
      <c r="G89" s="349"/>
    </row>
    <row r="90" spans="1:8" ht="18.75" x14ac:dyDescent="0.25">
      <c r="A90" s="440"/>
      <c r="B90" s="440"/>
      <c r="C90" s="440"/>
      <c r="D90" s="440"/>
      <c r="E90" s="440"/>
      <c r="F90" s="440"/>
      <c r="G90" s="349"/>
    </row>
    <row r="91" spans="1:8" ht="32.25" customHeight="1" x14ac:dyDescent="0.25">
      <c r="A91" s="720" t="str">
        <f>'таланты+инициативы'!A134:F134</f>
        <v xml:space="preserve">Затраты на оплату трудас учетом средств на повышение с 1 октября 2019 года на 4,3 процента заработной платы работников бюджетной сферы (с начислениями) работников, непосредственно НЕ связанных с выполнением работы </v>
      </c>
      <c r="B91" s="720"/>
      <c r="C91" s="720"/>
      <c r="D91" s="720"/>
      <c r="E91" s="720"/>
      <c r="F91" s="720"/>
    </row>
    <row r="92" spans="1:8" x14ac:dyDescent="0.25">
      <c r="A92" s="11"/>
      <c r="B92" s="11"/>
      <c r="C92" s="11"/>
      <c r="D92" s="11"/>
      <c r="E92" s="11"/>
      <c r="F92" s="100">
        <f>D42</f>
        <v>0.40200000000000002</v>
      </c>
    </row>
    <row r="93" spans="1:8" ht="31.5" x14ac:dyDescent="0.25">
      <c r="A93" s="541" t="s">
        <v>0</v>
      </c>
      <c r="B93" s="542"/>
      <c r="C93" s="243"/>
      <c r="D93" s="709" t="s">
        <v>1</v>
      </c>
      <c r="E93" s="243" t="s">
        <v>2</v>
      </c>
      <c r="F93" s="243" t="s">
        <v>43</v>
      </c>
      <c r="G93" s="709" t="s">
        <v>606</v>
      </c>
      <c r="H93" s="696" t="s">
        <v>6</v>
      </c>
    </row>
    <row r="94" spans="1:8" x14ac:dyDescent="0.25">
      <c r="A94" s="718"/>
      <c r="B94" s="719"/>
      <c r="C94" s="243"/>
      <c r="D94" s="710"/>
      <c r="E94" s="243"/>
      <c r="F94" s="243"/>
      <c r="G94" s="710"/>
      <c r="H94" s="697"/>
    </row>
    <row r="95" spans="1:8" x14ac:dyDescent="0.25">
      <c r="A95" s="693">
        <v>1</v>
      </c>
      <c r="B95" s="694"/>
      <c r="C95" s="243"/>
      <c r="D95" s="243">
        <v>2</v>
      </c>
      <c r="E95" s="243">
        <v>3</v>
      </c>
      <c r="F95" s="243" t="s">
        <v>41</v>
      </c>
      <c r="G95" s="479">
        <v>5</v>
      </c>
      <c r="H95" s="238" t="s">
        <v>42</v>
      </c>
    </row>
    <row r="96" spans="1:8" x14ac:dyDescent="0.25">
      <c r="A96" s="690" t="str">
        <f>'инновации+добровольчество'!A93:B93</f>
        <v>Заведующий МЦ</v>
      </c>
      <c r="B96" s="690"/>
      <c r="C96" s="110"/>
      <c r="D96" s="64">
        <f>'инновации+добровольчество'!D93</f>
        <v>70153.25</v>
      </c>
      <c r="E96" s="72">
        <f>1*F92</f>
        <v>0.40200000000000002</v>
      </c>
      <c r="F96" s="79">
        <f>D96*E96</f>
        <v>28201.606500000002</v>
      </c>
      <c r="G96" s="79">
        <v>1440.83</v>
      </c>
      <c r="H96" s="249">
        <f>F96*12*1.302-826.18+G96</f>
        <v>441236.54995600012</v>
      </c>
    </row>
    <row r="97" spans="1:10" x14ac:dyDescent="0.25">
      <c r="A97" s="586" t="s">
        <v>153</v>
      </c>
      <c r="B97" s="586"/>
      <c r="C97" s="109"/>
      <c r="D97" s="64">
        <f>'инновации+добровольчество'!D94</f>
        <v>25675</v>
      </c>
      <c r="E97" s="243">
        <f>1*F92</f>
        <v>0.40200000000000002</v>
      </c>
      <c r="F97" s="79">
        <f t="shared" ref="F97:F99" si="2">D97*E97</f>
        <v>10321.35</v>
      </c>
      <c r="G97" s="79">
        <v>1440.83</v>
      </c>
      <c r="H97" s="249">
        <f>F97*12*1.302+G97</f>
        <v>162701.6024</v>
      </c>
    </row>
    <row r="98" spans="1:10" x14ac:dyDescent="0.25">
      <c r="A98" s="582" t="s">
        <v>96</v>
      </c>
      <c r="B98" s="583"/>
      <c r="C98" s="109"/>
      <c r="D98" s="64">
        <f>'инновации+добровольчество'!D95</f>
        <v>25675</v>
      </c>
      <c r="E98" s="243">
        <f>1*F92/2</f>
        <v>0.20100000000000001</v>
      </c>
      <c r="F98" s="79">
        <f t="shared" ref="F98" si="3">D98*E98</f>
        <v>5160.6750000000002</v>
      </c>
      <c r="G98" s="79">
        <v>720.41</v>
      </c>
      <c r="H98" s="249">
        <f>F98*12*1.302+G98</f>
        <v>81350.796200000012</v>
      </c>
      <c r="J98" s="179"/>
    </row>
    <row r="99" spans="1:10" x14ac:dyDescent="0.25">
      <c r="A99" s="586" t="s">
        <v>154</v>
      </c>
      <c r="B99" s="586"/>
      <c r="C99" s="109"/>
      <c r="D99" s="64">
        <f>'инновации+добровольчество'!D96</f>
        <v>25675</v>
      </c>
      <c r="E99" s="243">
        <f>1*F92</f>
        <v>0.40200000000000002</v>
      </c>
      <c r="F99" s="79">
        <f t="shared" si="2"/>
        <v>10321.35</v>
      </c>
      <c r="G99" s="79">
        <v>1440.83</v>
      </c>
      <c r="H99" s="249">
        <f>F99*12*1.302+G99</f>
        <v>162701.6024</v>
      </c>
    </row>
    <row r="100" spans="1:10" hidden="1" x14ac:dyDescent="0.25">
      <c r="A100" s="545"/>
      <c r="B100" s="546"/>
      <c r="C100" s="109"/>
      <c r="D100" s="82"/>
      <c r="E100" s="243"/>
      <c r="F100" s="83"/>
      <c r="G100" s="83"/>
      <c r="H100" s="84"/>
    </row>
    <row r="101" spans="1:10" ht="18.75" x14ac:dyDescent="0.3">
      <c r="A101" s="693" t="s">
        <v>28</v>
      </c>
      <c r="B101" s="711"/>
      <c r="C101" s="711"/>
      <c r="D101" s="711"/>
      <c r="E101" s="711"/>
      <c r="F101" s="694"/>
      <c r="G101" s="480"/>
      <c r="H101" s="421">
        <f>SUM(H96:H100)</f>
        <v>847990.55095600011</v>
      </c>
    </row>
    <row r="102" spans="1:10" s="45" customFormat="1" ht="14.45" customHeight="1" x14ac:dyDescent="0.25">
      <c r="A102" s="588" t="s">
        <v>198</v>
      </c>
      <c r="B102" s="588"/>
      <c r="C102" s="588"/>
      <c r="D102" s="598"/>
      <c r="E102" s="598"/>
      <c r="F102" s="598"/>
      <c r="G102" s="598"/>
      <c r="H102" s="598"/>
    </row>
    <row r="103" spans="1:10" s="45" customFormat="1" ht="14.45" customHeight="1" x14ac:dyDescent="0.25">
      <c r="A103" s="550" t="s">
        <v>65</v>
      </c>
      <c r="B103" s="599" t="s">
        <v>167</v>
      </c>
      <c r="C103" s="600"/>
      <c r="D103" s="579"/>
      <c r="E103" s="605"/>
      <c r="F103" s="580"/>
      <c r="G103" s="228"/>
      <c r="H103" s="228"/>
    </row>
    <row r="104" spans="1:10" s="45" customFormat="1" ht="14.45" customHeight="1" x14ac:dyDescent="0.25">
      <c r="A104" s="554"/>
      <c r="B104" s="601"/>
      <c r="C104" s="602"/>
      <c r="D104" s="606" t="s">
        <v>171</v>
      </c>
      <c r="E104" s="554" t="s">
        <v>177</v>
      </c>
      <c r="F104" s="554" t="s">
        <v>6</v>
      </c>
    </row>
    <row r="105" spans="1:10" s="45" customFormat="1" ht="15" x14ac:dyDescent="0.25">
      <c r="A105" s="551"/>
      <c r="B105" s="603"/>
      <c r="C105" s="604"/>
      <c r="D105" s="607"/>
      <c r="E105" s="551"/>
      <c r="F105" s="551"/>
    </row>
    <row r="106" spans="1:10" s="45" customFormat="1" ht="15" x14ac:dyDescent="0.25">
      <c r="A106" s="234">
        <v>1</v>
      </c>
      <c r="B106" s="552">
        <v>2</v>
      </c>
      <c r="C106" s="553"/>
      <c r="D106" s="234">
        <v>5</v>
      </c>
      <c r="E106" s="234">
        <v>6</v>
      </c>
      <c r="F106" s="234">
        <v>7</v>
      </c>
    </row>
    <row r="107" spans="1:10" s="45" customFormat="1" ht="15" x14ac:dyDescent="0.25">
      <c r="A107" s="229" t="s">
        <v>174</v>
      </c>
      <c r="B107" s="234">
        <f>F126</f>
        <v>0.40200000000000002</v>
      </c>
      <c r="C107" s="230"/>
      <c r="D107" s="162">
        <f>'инновации+добровольчество'!D106</f>
        <v>32258.06</v>
      </c>
      <c r="E107" s="198">
        <f t="shared" ref="E107:E109" si="4">D107*30.2%</f>
        <v>9741.9341199999999</v>
      </c>
      <c r="F107" s="198">
        <f>(D107+E107)*0.402</f>
        <v>16883.997636240001</v>
      </c>
    </row>
    <row r="108" spans="1:10" s="45" customFormat="1" ht="15" x14ac:dyDescent="0.25">
      <c r="A108" s="229" t="s">
        <v>175</v>
      </c>
      <c r="B108" s="234">
        <f>E98</f>
        <v>0.20100000000000001</v>
      </c>
      <c r="C108" s="230"/>
      <c r="D108" s="162">
        <f>'инновации+добровольчество'!D107</f>
        <v>16129.03</v>
      </c>
      <c r="E108" s="198">
        <f t="shared" si="4"/>
        <v>4870.9670599999999</v>
      </c>
      <c r="F108" s="198">
        <f t="shared" ref="F108:F109" si="5">(D108+E108)*0.402</f>
        <v>8441.9988181200006</v>
      </c>
    </row>
    <row r="109" spans="1:10" s="45" customFormat="1" ht="15" x14ac:dyDescent="0.25">
      <c r="A109" s="229" t="s">
        <v>154</v>
      </c>
      <c r="B109" s="234">
        <f>E99</f>
        <v>0.40200000000000002</v>
      </c>
      <c r="C109" s="230"/>
      <c r="D109" s="162">
        <f>'инновации+добровольчество'!D108</f>
        <v>32258.06</v>
      </c>
      <c r="E109" s="198">
        <f t="shared" si="4"/>
        <v>9741.9341199999999</v>
      </c>
      <c r="F109" s="198">
        <f t="shared" si="5"/>
        <v>16883.997636240001</v>
      </c>
    </row>
    <row r="110" spans="1:10" s="45" customFormat="1" ht="15" x14ac:dyDescent="0.25">
      <c r="A110" s="165"/>
      <c r="B110" s="235"/>
      <c r="C110" s="166"/>
      <c r="D110" s="138">
        <f>SUM(D107:D109)</f>
        <v>80645.150000000009</v>
      </c>
      <c r="E110" s="138">
        <f>SUM(E107:E109)</f>
        <v>24354.835299999999</v>
      </c>
      <c r="F110" s="423">
        <f>SUM(F107:F109)+0.01</f>
        <v>42210.004090599999</v>
      </c>
    </row>
    <row r="111" spans="1:10" s="45" customFormat="1" ht="14.45" hidden="1" customHeight="1" x14ac:dyDescent="0.25">
      <c r="A111" s="588" t="s">
        <v>179</v>
      </c>
      <c r="B111" s="588"/>
      <c r="C111" s="588"/>
      <c r="D111" s="588"/>
      <c r="E111" s="588"/>
      <c r="F111" s="588"/>
      <c r="G111" s="588"/>
      <c r="H111" s="588"/>
    </row>
    <row r="112" spans="1:10" s="45" customFormat="1" ht="14.45" hidden="1" customHeight="1" x14ac:dyDescent="0.25">
      <c r="A112" s="550" t="s">
        <v>65</v>
      </c>
      <c r="B112" s="599" t="s">
        <v>167</v>
      </c>
      <c r="C112" s="721"/>
      <c r="D112" s="552" t="s">
        <v>168</v>
      </c>
      <c r="E112" s="631"/>
      <c r="F112" s="631"/>
      <c r="G112" s="631"/>
      <c r="H112" s="553"/>
    </row>
    <row r="113" spans="1:8" s="45" customFormat="1" ht="14.45" hidden="1" customHeight="1" x14ac:dyDescent="0.25">
      <c r="A113" s="554"/>
      <c r="B113" s="601"/>
      <c r="C113" s="602"/>
      <c r="D113" s="556" t="s">
        <v>169</v>
      </c>
      <c r="E113" s="550" t="s">
        <v>170</v>
      </c>
      <c r="F113" s="681" t="s">
        <v>171</v>
      </c>
      <c r="G113" s="550" t="s">
        <v>177</v>
      </c>
      <c r="H113" s="550" t="s">
        <v>6</v>
      </c>
    </row>
    <row r="114" spans="1:8" s="45" customFormat="1" ht="15" hidden="1" x14ac:dyDescent="0.25">
      <c r="A114" s="551"/>
      <c r="B114" s="603"/>
      <c r="C114" s="604"/>
      <c r="D114" s="682"/>
      <c r="E114" s="551"/>
      <c r="F114" s="607"/>
      <c r="G114" s="551"/>
      <c r="H114" s="551"/>
    </row>
    <row r="115" spans="1:8" s="45" customFormat="1" ht="15" hidden="1" x14ac:dyDescent="0.25">
      <c r="A115" s="234">
        <v>1</v>
      </c>
      <c r="B115" s="552">
        <v>2</v>
      </c>
      <c r="C115" s="553"/>
      <c r="D115" s="234">
        <v>3</v>
      </c>
      <c r="E115" s="234">
        <v>4</v>
      </c>
      <c r="F115" s="234">
        <v>5</v>
      </c>
      <c r="G115" s="234">
        <v>6</v>
      </c>
      <c r="H115" s="234">
        <v>7</v>
      </c>
    </row>
    <row r="116" spans="1:8" s="45" customFormat="1" ht="15" hidden="1" x14ac:dyDescent="0.25">
      <c r="A116" s="229" t="s">
        <v>172</v>
      </c>
      <c r="B116" s="234">
        <v>0.39300000000000002</v>
      </c>
      <c r="C116" s="230">
        <v>1</v>
      </c>
      <c r="D116" s="162">
        <v>30497.8</v>
      </c>
      <c r="E116" s="121">
        <v>41441.4</v>
      </c>
      <c r="F116" s="162">
        <f>30497.8*0.393</f>
        <v>11985.635400000001</v>
      </c>
      <c r="G116" s="198">
        <f>F116*30.2%</f>
        <v>3619.6618908</v>
      </c>
      <c r="H116" s="198">
        <f>F116+G116</f>
        <v>15605.297290800001</v>
      </c>
    </row>
    <row r="117" spans="1:8" s="45" customFormat="1" ht="15" hidden="1" x14ac:dyDescent="0.25">
      <c r="A117" s="229" t="s">
        <v>174</v>
      </c>
      <c r="B117" s="234">
        <f>1*0.393</f>
        <v>0.39300000000000002</v>
      </c>
      <c r="C117" s="230"/>
      <c r="D117" s="162">
        <v>8353.5499999999993</v>
      </c>
      <c r="E117" s="121">
        <v>11244.72</v>
      </c>
      <c r="F117" s="162">
        <f>8353.55*0.393</f>
        <v>3282.94515</v>
      </c>
      <c r="G117" s="198">
        <f>F117*30.2%</f>
        <v>991.4494353</v>
      </c>
      <c r="H117" s="198">
        <f>F117+G117</f>
        <v>4274.3945853000005</v>
      </c>
    </row>
    <row r="118" spans="1:8" s="45" customFormat="1" ht="15" hidden="1" x14ac:dyDescent="0.25">
      <c r="A118" s="229" t="s">
        <v>175</v>
      </c>
      <c r="B118" s="234">
        <f>0.5*0.393</f>
        <v>0.19650000000000001</v>
      </c>
      <c r="C118" s="230"/>
      <c r="D118" s="162">
        <v>3761.62</v>
      </c>
      <c r="E118" s="121">
        <v>4983</v>
      </c>
      <c r="F118" s="162">
        <f>3761.62*0.393</f>
        <v>1478.31666</v>
      </c>
      <c r="G118" s="198">
        <f>F118*30.2%</f>
        <v>446.45163131999999</v>
      </c>
      <c r="H118" s="198">
        <f>F118+G118</f>
        <v>1924.7682913199999</v>
      </c>
    </row>
    <row r="119" spans="1:8" s="45" customFormat="1" ht="15" hidden="1" x14ac:dyDescent="0.25">
      <c r="A119" s="229" t="s">
        <v>154</v>
      </c>
      <c r="B119" s="234">
        <f>1*0.393</f>
        <v>0.39300000000000002</v>
      </c>
      <c r="C119" s="230"/>
      <c r="D119" s="162">
        <v>6266.1</v>
      </c>
      <c r="E119" s="121">
        <v>8398.2000000000007</v>
      </c>
      <c r="F119" s="162">
        <f>6266.1*0.393</f>
        <v>2462.5773000000004</v>
      </c>
      <c r="G119" s="198">
        <f>F119*30.2%</f>
        <v>743.69834460000004</v>
      </c>
      <c r="H119" s="198">
        <f>F119+G119</f>
        <v>3206.2756446000003</v>
      </c>
    </row>
    <row r="120" spans="1:8" s="45" customFormat="1" ht="15" hidden="1" x14ac:dyDescent="0.25">
      <c r="A120" s="229" t="s">
        <v>176</v>
      </c>
      <c r="B120" s="234">
        <f>3*0.393</f>
        <v>1.179</v>
      </c>
      <c r="C120" s="230"/>
      <c r="D120" s="162">
        <v>20749.32</v>
      </c>
      <c r="E120" s="121">
        <v>28148.04</v>
      </c>
      <c r="F120" s="162">
        <f>20749.32*0.393</f>
        <v>8154.4827599999999</v>
      </c>
      <c r="G120" s="198">
        <f>F120*30.2%</f>
        <v>2462.6537935199999</v>
      </c>
      <c r="H120" s="198">
        <f>F120+G120</f>
        <v>10617.13655352</v>
      </c>
    </row>
    <row r="121" spans="1:8" s="45" customFormat="1" ht="18.75" hidden="1" x14ac:dyDescent="0.25">
      <c r="A121" s="165"/>
      <c r="B121" s="235"/>
      <c r="C121" s="166"/>
      <c r="D121" s="138">
        <f>SUM(D116:D120)</f>
        <v>69628.39</v>
      </c>
      <c r="E121" s="138">
        <f>SUM(E116:E120)</f>
        <v>94215.360000000015</v>
      </c>
      <c r="F121" s="138">
        <f>SUM(F116:F120)</f>
        <v>27363.957269999999</v>
      </c>
      <c r="G121" s="138">
        <f>SUM(G116:G120)</f>
        <v>8263.91509554</v>
      </c>
      <c r="H121" s="263"/>
    </row>
    <row r="122" spans="1:8" ht="15.6" customHeight="1" x14ac:dyDescent="0.25">
      <c r="A122" s="707" t="s">
        <v>12</v>
      </c>
      <c r="B122" s="707"/>
      <c r="C122" s="707"/>
      <c r="D122" s="707"/>
      <c r="E122" s="707"/>
      <c r="F122" s="707"/>
      <c r="H122" s="179"/>
    </row>
    <row r="123" spans="1:8" x14ac:dyDescent="0.25">
      <c r="A123" s="4" t="s">
        <v>48</v>
      </c>
      <c r="B123" s="173"/>
      <c r="C123" s="173"/>
      <c r="D123" s="173"/>
      <c r="E123" s="173"/>
      <c r="F123" s="173"/>
    </row>
    <row r="124" spans="1:8" x14ac:dyDescent="0.25">
      <c r="A124" s="4" t="s">
        <v>92</v>
      </c>
      <c r="B124" s="173"/>
      <c r="C124" s="173"/>
      <c r="D124" s="173"/>
      <c r="E124" s="173"/>
      <c r="F124" s="173"/>
    </row>
    <row r="125" spans="1:8" x14ac:dyDescent="0.25">
      <c r="A125" s="540" t="s">
        <v>50</v>
      </c>
      <c r="B125" s="540"/>
      <c r="C125" s="540"/>
      <c r="D125" s="540"/>
      <c r="E125" s="540"/>
      <c r="F125" s="173"/>
    </row>
    <row r="126" spans="1:8" x14ac:dyDescent="0.25">
      <c r="A126" s="173"/>
      <c r="B126" s="173"/>
      <c r="C126" s="173"/>
      <c r="D126" s="173"/>
      <c r="E126" s="173"/>
      <c r="F126" s="174">
        <f>F92</f>
        <v>0.40200000000000002</v>
      </c>
    </row>
    <row r="127" spans="1:8" ht="15.75" customHeight="1" x14ac:dyDescent="0.25">
      <c r="A127" s="708" t="s">
        <v>13</v>
      </c>
      <c r="B127" s="708" t="s">
        <v>11</v>
      </c>
      <c r="C127" s="243"/>
      <c r="D127" s="708" t="s">
        <v>14</v>
      </c>
      <c r="E127" s="708" t="s">
        <v>15</v>
      </c>
      <c r="F127" s="709" t="s">
        <v>6</v>
      </c>
    </row>
    <row r="128" spans="1:8" x14ac:dyDescent="0.25">
      <c r="A128" s="708"/>
      <c r="B128" s="708"/>
      <c r="C128" s="243"/>
      <c r="D128" s="708"/>
      <c r="E128" s="708"/>
      <c r="F128" s="710"/>
    </row>
    <row r="129" spans="1:7" x14ac:dyDescent="0.25">
      <c r="A129" s="243">
        <v>1</v>
      </c>
      <c r="B129" s="243">
        <v>2</v>
      </c>
      <c r="C129" s="243"/>
      <c r="D129" s="243">
        <v>3</v>
      </c>
      <c r="E129" s="243">
        <v>4</v>
      </c>
      <c r="F129" s="243" t="s">
        <v>186</v>
      </c>
    </row>
    <row r="130" spans="1:7" x14ac:dyDescent="0.25">
      <c r="A130" s="85" t="str">
        <f>'инновации+добровольчество'!A126</f>
        <v>Теплоэнергия</v>
      </c>
      <c r="B130" s="243" t="s">
        <v>18</v>
      </c>
      <c r="C130" s="243"/>
      <c r="D130" s="79">
        <f>55*F126</f>
        <v>22.110000000000003</v>
      </c>
      <c r="E130" s="58">
        <f>'инновации+добровольчество'!E126</f>
        <v>2974.26</v>
      </c>
      <c r="F130" s="79">
        <f>D130*E130</f>
        <v>65760.88860000002</v>
      </c>
    </row>
    <row r="131" spans="1:7" ht="18.75" x14ac:dyDescent="0.25">
      <c r="A131" s="85" t="str">
        <f>'инновации+добровольчество'!A127</f>
        <v>Водоснабжение 1 полугодие</v>
      </c>
      <c r="B131" s="243" t="s">
        <v>244</v>
      </c>
      <c r="C131" s="243"/>
      <c r="D131" s="243">
        <f>106.3*F126</f>
        <v>42.732599999999998</v>
      </c>
      <c r="E131" s="58">
        <f>'инновации+добровольчество'!E127</f>
        <v>55.18</v>
      </c>
      <c r="F131" s="79">
        <f t="shared" ref="F131:F134" si="6">D131*E131</f>
        <v>2357.984868</v>
      </c>
    </row>
    <row r="132" spans="1:7" ht="18.75" x14ac:dyDescent="0.25">
      <c r="A132" s="85" t="str">
        <f>'инновации+добровольчество'!A128</f>
        <v>Водоснабжение 2 полугодие</v>
      </c>
      <c r="B132" s="243" t="s">
        <v>58</v>
      </c>
      <c r="C132" s="243"/>
      <c r="D132" s="243">
        <f>106.3*F126</f>
        <v>42.732599999999998</v>
      </c>
      <c r="E132" s="58">
        <f>'инновации+добровольчество'!E128</f>
        <v>56.66</v>
      </c>
      <c r="F132" s="79">
        <f t="shared" si="6"/>
        <v>2421.2291159999995</v>
      </c>
    </row>
    <row r="133" spans="1:7" x14ac:dyDescent="0.25">
      <c r="A133" s="85" t="str">
        <f>'инновации+добровольчество'!A129</f>
        <v>Электроэнергия</v>
      </c>
      <c r="B133" s="243" t="s">
        <v>90</v>
      </c>
      <c r="C133" s="243"/>
      <c r="D133" s="102">
        <f>10.36*F126</f>
        <v>4.16472</v>
      </c>
      <c r="E133" s="58">
        <f>'инновации+добровольчество'!E129</f>
        <v>7415.06</v>
      </c>
      <c r="F133" s="79">
        <f t="shared" si="6"/>
        <v>30881.648683200001</v>
      </c>
    </row>
    <row r="134" spans="1:7" x14ac:dyDescent="0.25">
      <c r="A134" s="234" t="str">
        <f>'инновации+добровольчество'!A130</f>
        <v>Водоотведение (септик)  откачка асс. машиной 6 раз в год</v>
      </c>
      <c r="B134" s="232" t="s">
        <v>22</v>
      </c>
      <c r="C134" s="234"/>
      <c r="D134" s="181">
        <f>12*F126</f>
        <v>4.8239999999999998</v>
      </c>
      <c r="E134" s="58">
        <f>'инновации+добровольчество'!E130</f>
        <v>6334.56</v>
      </c>
      <c r="F134" s="79">
        <f t="shared" si="6"/>
        <v>30557.917440000001</v>
      </c>
    </row>
    <row r="135" spans="1:7" x14ac:dyDescent="0.25">
      <c r="A135" s="297" t="str">
        <f>'инновации+добровольчество'!A131</f>
        <v>ТКО</v>
      </c>
      <c r="B135" s="181" t="str">
        <f>'инновации+добровольчество'!B131</f>
        <v>м3</v>
      </c>
      <c r="C135" s="297"/>
      <c r="D135" s="181">
        <f>3.636*F126</f>
        <v>1.4616720000000001</v>
      </c>
      <c r="E135" s="58">
        <v>2170.58</v>
      </c>
      <c r="F135" s="79">
        <f>D135*E135</f>
        <v>3172.6760097599999</v>
      </c>
    </row>
    <row r="136" spans="1:7" ht="18.75" x14ac:dyDescent="0.25">
      <c r="A136" s="698"/>
      <c r="B136" s="698"/>
      <c r="C136" s="698"/>
      <c r="D136" s="698"/>
      <c r="E136" s="698"/>
      <c r="F136" s="428">
        <f>SUM(F130:F135)</f>
        <v>135152.34471696001</v>
      </c>
    </row>
    <row r="137" spans="1:7" x14ac:dyDescent="0.25">
      <c r="A137" s="100"/>
      <c r="B137" s="100"/>
      <c r="C137" s="100"/>
      <c r="D137" s="100"/>
      <c r="E137" s="100"/>
      <c r="F137" s="101"/>
    </row>
    <row r="138" spans="1:7" x14ac:dyDescent="0.25">
      <c r="A138" s="593" t="s">
        <v>121</v>
      </c>
      <c r="B138" s="593"/>
      <c r="C138" s="593"/>
      <c r="D138" s="593"/>
      <c r="E138" s="593"/>
      <c r="F138" s="593"/>
      <c r="G138" s="200"/>
    </row>
    <row r="139" spans="1:7" ht="25.5" x14ac:dyDescent="0.25">
      <c r="A139" s="229" t="s">
        <v>122</v>
      </c>
      <c r="B139" s="234" t="s">
        <v>123</v>
      </c>
      <c r="C139" s="248"/>
      <c r="D139" s="234" t="s">
        <v>127</v>
      </c>
      <c r="E139" s="234" t="s">
        <v>124</v>
      </c>
      <c r="F139" s="234" t="s">
        <v>125</v>
      </c>
      <c r="G139" s="233" t="s">
        <v>6</v>
      </c>
    </row>
    <row r="140" spans="1:7" x14ac:dyDescent="0.25">
      <c r="A140" s="229">
        <v>1</v>
      </c>
      <c r="B140" s="234">
        <v>2</v>
      </c>
      <c r="C140" s="248"/>
      <c r="D140" s="234">
        <v>3</v>
      </c>
      <c r="E140" s="234">
        <v>4</v>
      </c>
      <c r="F140" s="234">
        <v>5</v>
      </c>
      <c r="G140" s="175" t="s">
        <v>236</v>
      </c>
    </row>
    <row r="141" spans="1:7" x14ac:dyDescent="0.25">
      <c r="A141" s="234" t="s">
        <v>126</v>
      </c>
      <c r="B141" s="234">
        <f>'инновации+добровольчество'!B114</f>
        <v>3</v>
      </c>
      <c r="C141" s="234">
        <f>'инновации+добровольчество'!C114</f>
        <v>0</v>
      </c>
      <c r="D141" s="234">
        <f>'инновации+добровольчество'!D114</f>
        <v>12</v>
      </c>
      <c r="E141" s="234">
        <f>'инновации+добровольчество'!E114</f>
        <v>75</v>
      </c>
      <c r="F141" s="121">
        <f>'инновации+добровольчество'!F114</f>
        <v>2700</v>
      </c>
      <c r="G141" s="176">
        <f>F141*D151</f>
        <v>1085.4000000000001</v>
      </c>
    </row>
    <row r="142" spans="1:7" x14ac:dyDescent="0.25">
      <c r="A142" s="260" t="s">
        <v>291</v>
      </c>
      <c r="B142" s="261">
        <f>'инновации+добровольчество'!B115</f>
        <v>1</v>
      </c>
      <c r="C142" s="261"/>
      <c r="D142" s="122">
        <f>'инновации+добровольчество'!D115</f>
        <v>5</v>
      </c>
      <c r="E142" s="122">
        <f>'инновации+добровольчество'!E115</f>
        <v>21992.651999999998</v>
      </c>
      <c r="F142" s="121">
        <f>'инновации+добровольчество'!F115</f>
        <v>109963.26</v>
      </c>
      <c r="G142" s="176">
        <f>PRODUCT(F142,0.402)</f>
        <v>44205.230519999997</v>
      </c>
    </row>
    <row r="143" spans="1:7" x14ac:dyDescent="0.25">
      <c r="A143" s="260" t="s">
        <v>292</v>
      </c>
      <c r="B143" s="261">
        <f>'инновации+добровольчество'!B116</f>
        <v>1</v>
      </c>
      <c r="C143" s="261"/>
      <c r="D143" s="122">
        <f>'инновации+добровольчество'!D116</f>
        <v>5</v>
      </c>
      <c r="E143" s="122">
        <f>'инновации+добровольчество'!E116</f>
        <v>20452.009999999998</v>
      </c>
      <c r="F143" s="121">
        <f>'инновации+добровольчество'!F116</f>
        <v>102260.07</v>
      </c>
      <c r="G143" s="176">
        <f t="shared" ref="G143" si="7">PRODUCT(F143,0.402)</f>
        <v>41108.548140000006</v>
      </c>
    </row>
    <row r="144" spans="1:7" x14ac:dyDescent="0.25">
      <c r="A144" s="260" t="s">
        <v>293</v>
      </c>
      <c r="B144" s="261">
        <f>'инновации+добровольчество'!B117</f>
        <v>1</v>
      </c>
      <c r="C144" s="261"/>
      <c r="D144" s="122">
        <f>'инновации+добровольчество'!D117</f>
        <v>5</v>
      </c>
      <c r="E144" s="122">
        <f>'инновации+добровольчество'!E117</f>
        <v>21031.16</v>
      </c>
      <c r="F144" s="121">
        <f>'инновации+добровольчество'!F117</f>
        <v>105155.82</v>
      </c>
      <c r="G144" s="176">
        <f>PRODUCT(F144,0.402)+482.4</f>
        <v>42755.03964000001</v>
      </c>
    </row>
    <row r="145" spans="1:7" ht="18.75" x14ac:dyDescent="0.25">
      <c r="A145" s="137"/>
      <c r="B145" s="137"/>
      <c r="C145" s="137"/>
      <c r="D145" s="137"/>
      <c r="E145" s="235" t="s">
        <v>97</v>
      </c>
      <c r="F145" s="138"/>
      <c r="G145" s="427">
        <f>G141+G142+G143+G144</f>
        <v>129154.21830000001</v>
      </c>
    </row>
    <row r="146" spans="1:7" x14ac:dyDescent="0.25">
      <c r="A146" s="100"/>
      <c r="B146" s="100"/>
      <c r="C146" s="100"/>
      <c r="D146" s="100"/>
      <c r="E146" s="100"/>
      <c r="F146" s="101"/>
    </row>
    <row r="147" spans="1:7" x14ac:dyDescent="0.25">
      <c r="A147" s="100"/>
      <c r="B147" s="100"/>
      <c r="C147" s="100"/>
      <c r="D147" s="100"/>
      <c r="E147" s="100"/>
      <c r="F147" s="101"/>
    </row>
    <row r="148" spans="1:7" x14ac:dyDescent="0.25">
      <c r="A148" s="100"/>
      <c r="B148" s="100"/>
      <c r="C148" s="100"/>
      <c r="D148" s="100"/>
      <c r="E148" s="100"/>
      <c r="F148" s="101"/>
    </row>
    <row r="149" spans="1:7" x14ac:dyDescent="0.25">
      <c r="A149" s="699" t="s">
        <v>46</v>
      </c>
      <c r="B149" s="699"/>
      <c r="C149" s="699"/>
      <c r="D149" s="699"/>
      <c r="E149" s="699"/>
      <c r="F149" s="699"/>
    </row>
    <row r="150" spans="1:7" x14ac:dyDescent="0.25">
      <c r="A150" s="247" t="s">
        <v>88</v>
      </c>
      <c r="B150" s="6" t="s">
        <v>234</v>
      </c>
      <c r="C150" s="6"/>
      <c r="D150" s="6"/>
    </row>
    <row r="151" spans="1:7" x14ac:dyDescent="0.25">
      <c r="D151" s="170">
        <f>F126</f>
        <v>0.40200000000000002</v>
      </c>
    </row>
    <row r="152" spans="1:7" ht="13.15" customHeight="1" x14ac:dyDescent="0.25">
      <c r="A152" s="683" t="s">
        <v>27</v>
      </c>
      <c r="B152" s="683"/>
      <c r="C152" s="238"/>
      <c r="D152" s="683" t="s">
        <v>11</v>
      </c>
      <c r="E152" s="238" t="s">
        <v>51</v>
      </c>
      <c r="F152" s="238" t="s">
        <v>15</v>
      </c>
      <c r="G152" s="688" t="s">
        <v>6</v>
      </c>
    </row>
    <row r="153" spans="1:7" x14ac:dyDescent="0.25">
      <c r="A153" s="683"/>
      <c r="B153" s="683"/>
      <c r="C153" s="238"/>
      <c r="D153" s="683"/>
      <c r="E153" s="238"/>
      <c r="F153" s="238"/>
      <c r="G153" s="689"/>
    </row>
    <row r="154" spans="1:7" x14ac:dyDescent="0.25">
      <c r="A154" s="684">
        <v>1</v>
      </c>
      <c r="B154" s="685"/>
      <c r="C154" s="237"/>
      <c r="D154" s="238">
        <v>2</v>
      </c>
      <c r="E154" s="238">
        <v>3</v>
      </c>
      <c r="F154" s="238">
        <v>4</v>
      </c>
      <c r="G154" s="80" t="s">
        <v>73</v>
      </c>
    </row>
    <row r="155" spans="1:7" x14ac:dyDescent="0.25">
      <c r="A155" s="686" t="str">
        <f>A45</f>
        <v>Суточные</v>
      </c>
      <c r="B155" s="687"/>
      <c r="C155" s="241"/>
      <c r="D155" s="238" t="str">
        <f>D45</f>
        <v>сутки</v>
      </c>
      <c r="E155" s="269">
        <f>D151</f>
        <v>0.40200000000000002</v>
      </c>
      <c r="F155" s="249">
        <f>F45</f>
        <v>13500</v>
      </c>
      <c r="G155" s="86">
        <f>E155*F155</f>
        <v>5427</v>
      </c>
    </row>
    <row r="156" spans="1:7" x14ac:dyDescent="0.25">
      <c r="A156" s="686" t="str">
        <f>A46</f>
        <v>Проезд</v>
      </c>
      <c r="B156" s="687"/>
      <c r="C156" s="241"/>
      <c r="D156" s="238" t="str">
        <f>D46</f>
        <v xml:space="preserve">Ед. </v>
      </c>
      <c r="E156" s="269">
        <f>D151</f>
        <v>0.40200000000000002</v>
      </c>
      <c r="F156" s="249">
        <f>F46</f>
        <v>60000</v>
      </c>
      <c r="G156" s="86">
        <f>E156*F156</f>
        <v>24120</v>
      </c>
    </row>
    <row r="157" spans="1:7" x14ac:dyDescent="0.25">
      <c r="A157" s="686" t="str">
        <f>A47</f>
        <v>Проживание (гостиница)</v>
      </c>
      <c r="B157" s="687"/>
      <c r="C157" s="241"/>
      <c r="D157" s="238" t="str">
        <f>D47</f>
        <v>сутки</v>
      </c>
      <c r="E157" s="269">
        <f>D151</f>
        <v>0.40200000000000002</v>
      </c>
      <c r="F157" s="249">
        <f>F47</f>
        <v>7499.98</v>
      </c>
      <c r="G157" s="86">
        <f>E157*F157</f>
        <v>3014.9919599999998</v>
      </c>
    </row>
    <row r="158" spans="1:7" x14ac:dyDescent="0.25">
      <c r="A158" s="240" t="str">
        <f>A48</f>
        <v>Проживание (квартирные)</v>
      </c>
      <c r="B158" s="241"/>
      <c r="C158" s="241"/>
      <c r="D158" s="238" t="str">
        <f>D48</f>
        <v>сутки</v>
      </c>
      <c r="E158" s="269">
        <f>D151</f>
        <v>0.40200000000000002</v>
      </c>
      <c r="F158" s="249">
        <f>F48</f>
        <v>3375</v>
      </c>
      <c r="G158" s="86">
        <f>E158*F158</f>
        <v>1356.75</v>
      </c>
    </row>
    <row r="159" spans="1:7" ht="18.75" x14ac:dyDescent="0.25">
      <c r="A159" s="700" t="s">
        <v>131</v>
      </c>
      <c r="B159" s="701"/>
      <c r="C159" s="242"/>
      <c r="D159" s="81"/>
      <c r="E159" s="87"/>
      <c r="F159" s="87"/>
      <c r="G159" s="409">
        <f>SUM(G155:G158)</f>
        <v>33918.741959999999</v>
      </c>
    </row>
    <row r="160" spans="1:7" x14ac:dyDescent="0.25">
      <c r="A160" s="695" t="s">
        <v>36</v>
      </c>
      <c r="B160" s="695"/>
      <c r="C160" s="695"/>
      <c r="D160" s="695"/>
      <c r="E160" s="695"/>
      <c r="F160" s="695"/>
    </row>
    <row r="161" spans="1:7" x14ac:dyDescent="0.25">
      <c r="D161" s="177">
        <f>D151</f>
        <v>0.40200000000000002</v>
      </c>
    </row>
    <row r="162" spans="1:7" x14ac:dyDescent="0.25">
      <c r="A162" s="683" t="s">
        <v>24</v>
      </c>
      <c r="B162" s="683" t="s">
        <v>11</v>
      </c>
      <c r="C162" s="238"/>
      <c r="D162" s="683" t="s">
        <v>51</v>
      </c>
      <c r="E162" s="683" t="s">
        <v>15</v>
      </c>
      <c r="F162" s="696" t="s">
        <v>192</v>
      </c>
      <c r="G162" s="688" t="s">
        <v>6</v>
      </c>
    </row>
    <row r="163" spans="1:7" x14ac:dyDescent="0.25">
      <c r="A163" s="683"/>
      <c r="B163" s="683"/>
      <c r="C163" s="238"/>
      <c r="D163" s="683"/>
      <c r="E163" s="683"/>
      <c r="F163" s="697"/>
      <c r="G163" s="689"/>
    </row>
    <row r="164" spans="1:7" x14ac:dyDescent="0.25">
      <c r="A164" s="238">
        <v>1</v>
      </c>
      <c r="B164" s="238">
        <v>2</v>
      </c>
      <c r="C164" s="238"/>
      <c r="D164" s="238">
        <v>3</v>
      </c>
      <c r="E164" s="238">
        <v>4</v>
      </c>
      <c r="F164" s="238">
        <v>5</v>
      </c>
      <c r="G164" s="80" t="s">
        <v>74</v>
      </c>
    </row>
    <row r="165" spans="1:7" x14ac:dyDescent="0.25">
      <c r="A165" s="55" t="str">
        <f>'инновации+добровольчество'!A148</f>
        <v>Договор ВЗ (связь по краю)</v>
      </c>
      <c r="B165" s="231" t="s">
        <v>22</v>
      </c>
      <c r="C165" s="234"/>
      <c r="D165" s="238">
        <f>D161</f>
        <v>0.40200000000000002</v>
      </c>
      <c r="E165" s="233">
        <f>'инновации+добровольчество'!E148</f>
        <v>250</v>
      </c>
      <c r="F165" s="231">
        <v>12</v>
      </c>
      <c r="G165" s="86">
        <f t="shared" ref="G165:G170" si="8">D165*E165*F165</f>
        <v>1206</v>
      </c>
    </row>
    <row r="166" spans="1:7" x14ac:dyDescent="0.25">
      <c r="A166" s="55" t="str">
        <f>'инновации+добровольчество'!A149</f>
        <v>Абоненская плата за услуги связи, номеров</v>
      </c>
      <c r="B166" s="231" t="s">
        <v>22</v>
      </c>
      <c r="C166" s="234"/>
      <c r="D166" s="238">
        <f>D161</f>
        <v>0.40200000000000002</v>
      </c>
      <c r="E166" s="233">
        <f>'инновации+добровольчество'!E149</f>
        <v>2250</v>
      </c>
      <c r="F166" s="231">
        <v>12</v>
      </c>
      <c r="G166" s="86">
        <f t="shared" si="8"/>
        <v>10854</v>
      </c>
    </row>
    <row r="167" spans="1:7" hidden="1" x14ac:dyDescent="0.25">
      <c r="A167" s="55" t="str">
        <f>'инновации+добровольчество'!A150</f>
        <v>Абоненская плата за услуги Интернет кайтнет</v>
      </c>
      <c r="B167" s="231" t="s">
        <v>22</v>
      </c>
      <c r="C167" s="234"/>
      <c r="D167" s="238">
        <f>D161</f>
        <v>0.40200000000000002</v>
      </c>
      <c r="E167" s="233">
        <f>'инновации+добровольчество'!E150</f>
        <v>0</v>
      </c>
      <c r="F167" s="231">
        <v>12</v>
      </c>
      <c r="G167" s="86">
        <f t="shared" si="8"/>
        <v>0</v>
      </c>
    </row>
    <row r="168" spans="1:7" hidden="1" x14ac:dyDescent="0.25">
      <c r="A168" s="55" t="str">
        <f>'инновации+добровольчество'!A151</f>
        <v>Абоненская плата за услуги Интернет ИП Крамаренко:</v>
      </c>
      <c r="B168" s="231" t="s">
        <v>22</v>
      </c>
      <c r="C168" s="234"/>
      <c r="D168" s="238">
        <f>D161</f>
        <v>0.40200000000000002</v>
      </c>
      <c r="E168" s="233">
        <f>'инновации+добровольчество'!E151</f>
        <v>0</v>
      </c>
      <c r="F168" s="231"/>
      <c r="G168" s="86">
        <f t="shared" si="8"/>
        <v>0</v>
      </c>
    </row>
    <row r="169" spans="1:7" x14ac:dyDescent="0.25">
      <c r="A169" s="55" t="str">
        <f>'инновации+добровольчество'!A152</f>
        <v>Тариф Бизнес начальный</v>
      </c>
      <c r="B169" s="231" t="s">
        <v>91</v>
      </c>
      <c r="C169" s="234"/>
      <c r="D169" s="238">
        <f>D161</f>
        <v>0.40200000000000002</v>
      </c>
      <c r="E169" s="233">
        <f>'инновации+добровольчество'!E152</f>
        <v>6500</v>
      </c>
      <c r="F169" s="231">
        <v>8</v>
      </c>
      <c r="G169" s="86">
        <f t="shared" si="8"/>
        <v>20904</v>
      </c>
    </row>
    <row r="170" spans="1:7" x14ac:dyDescent="0.25">
      <c r="A170" s="55" t="str">
        <f>'инновации+добровольчество'!A153</f>
        <v>Тариф Бизнес</v>
      </c>
      <c r="B170" s="231" t="s">
        <v>91</v>
      </c>
      <c r="C170" s="234"/>
      <c r="D170" s="238">
        <f>D161</f>
        <v>0.40200000000000002</v>
      </c>
      <c r="E170" s="233">
        <f>'инновации+добровольчество'!E153</f>
        <v>11500</v>
      </c>
      <c r="F170" s="231">
        <v>4</v>
      </c>
      <c r="G170" s="86">
        <f t="shared" si="8"/>
        <v>18492</v>
      </c>
    </row>
    <row r="171" spans="1:7" x14ac:dyDescent="0.25">
      <c r="A171" s="55" t="str">
        <f>'инновации+добровольчество'!A154</f>
        <v>Почтовые услуги</v>
      </c>
      <c r="B171" s="231" t="s">
        <v>91</v>
      </c>
      <c r="C171" s="234"/>
      <c r="D171" s="238">
        <f>D161</f>
        <v>0.40200000000000002</v>
      </c>
      <c r="E171" s="233">
        <f>'инновации+добровольчество'!E154</f>
        <v>167.6</v>
      </c>
      <c r="F171" s="231">
        <v>12</v>
      </c>
      <c r="G171" s="86">
        <f>D171*E171*F171-0.03</f>
        <v>808.47240000000011</v>
      </c>
    </row>
    <row r="172" spans="1:7" ht="18.75" x14ac:dyDescent="0.3">
      <c r="A172" s="706" t="s">
        <v>26</v>
      </c>
      <c r="B172" s="706"/>
      <c r="C172" s="706"/>
      <c r="D172" s="706"/>
      <c r="E172" s="706"/>
      <c r="F172" s="706"/>
      <c r="G172" s="421">
        <f>SUM(G165:G171)</f>
        <v>52264.472399999999</v>
      </c>
    </row>
    <row r="173" spans="1:7" x14ac:dyDescent="0.25">
      <c r="A173" s="695" t="s">
        <v>59</v>
      </c>
      <c r="B173" s="695"/>
      <c r="C173" s="695"/>
      <c r="D173" s="695"/>
      <c r="E173" s="695"/>
      <c r="F173" s="695"/>
    </row>
    <row r="174" spans="1:7" x14ac:dyDescent="0.25">
      <c r="D174" s="177">
        <f>D161</f>
        <v>0.40200000000000002</v>
      </c>
    </row>
    <row r="175" spans="1:7" x14ac:dyDescent="0.25">
      <c r="A175" s="683" t="s">
        <v>285</v>
      </c>
      <c r="B175" s="683" t="s">
        <v>11</v>
      </c>
      <c r="C175" s="238"/>
      <c r="D175" s="683" t="s">
        <v>51</v>
      </c>
      <c r="E175" s="683" t="s">
        <v>15</v>
      </c>
      <c r="F175" s="696" t="s">
        <v>25</v>
      </c>
      <c r="G175" s="688" t="s">
        <v>6</v>
      </c>
    </row>
    <row r="176" spans="1:7" x14ac:dyDescent="0.25">
      <c r="A176" s="683"/>
      <c r="B176" s="683"/>
      <c r="C176" s="238"/>
      <c r="D176" s="683"/>
      <c r="E176" s="683"/>
      <c r="F176" s="697"/>
      <c r="G176" s="689"/>
    </row>
    <row r="177" spans="1:13" x14ac:dyDescent="0.25">
      <c r="A177" s="238">
        <v>1</v>
      </c>
      <c r="B177" s="238">
        <v>2</v>
      </c>
      <c r="C177" s="238"/>
      <c r="D177" s="238">
        <v>3</v>
      </c>
      <c r="E177" s="238">
        <v>4</v>
      </c>
      <c r="F177" s="238">
        <v>5</v>
      </c>
      <c r="G177" s="86" t="s">
        <v>75</v>
      </c>
    </row>
    <row r="178" spans="1:13" x14ac:dyDescent="0.25">
      <c r="A178" s="136" t="s">
        <v>509</v>
      </c>
      <c r="B178" s="303" t="s">
        <v>134</v>
      </c>
      <c r="C178" s="305"/>
      <c r="D178" s="305">
        <v>0.40200000000000002</v>
      </c>
      <c r="E178" s="305">
        <f>'инновации+добровольчество'!E161</f>
        <v>8151.4</v>
      </c>
      <c r="F178" s="305">
        <v>1</v>
      </c>
      <c r="G178" s="86">
        <f>D178*E178*F178</f>
        <v>3276.8627999999999</v>
      </c>
    </row>
    <row r="179" spans="1:13" x14ac:dyDescent="0.25">
      <c r="A179" s="75" t="s">
        <v>194</v>
      </c>
      <c r="B179" s="238" t="s">
        <v>22</v>
      </c>
      <c r="C179" s="238"/>
      <c r="D179" s="238">
        <f>1*D174</f>
        <v>0.40200000000000002</v>
      </c>
      <c r="E179" s="249">
        <f>'инновации+добровольчество'!E162</f>
        <v>10816</v>
      </c>
      <c r="F179" s="238">
        <v>1</v>
      </c>
      <c r="G179" s="86">
        <f>D179*E179*F179</f>
        <v>4348.0320000000002</v>
      </c>
    </row>
    <row r="180" spans="1:13" ht="18.75" x14ac:dyDescent="0.25">
      <c r="A180" s="706" t="s">
        <v>60</v>
      </c>
      <c r="B180" s="706"/>
      <c r="C180" s="706"/>
      <c r="D180" s="706"/>
      <c r="E180" s="706"/>
      <c r="F180" s="706"/>
      <c r="G180" s="409">
        <f>SUM(G178:G179)</f>
        <v>7624.8948</v>
      </c>
    </row>
    <row r="181" spans="1:13" ht="18.75" x14ac:dyDescent="0.3">
      <c r="A181" s="695" t="s">
        <v>19</v>
      </c>
      <c r="B181" s="695"/>
      <c r="C181" s="695"/>
      <c r="D181" s="695"/>
      <c r="E181" s="695"/>
      <c r="F181" s="695"/>
      <c r="G181" s="201"/>
    </row>
    <row r="182" spans="1:13" x14ac:dyDescent="0.25">
      <c r="D182" s="177">
        <f>D174</f>
        <v>0.40200000000000002</v>
      </c>
      <c r="H182" s="6"/>
      <c r="I182" s="6"/>
      <c r="J182" s="6"/>
      <c r="K182" s="6"/>
      <c r="L182" s="6"/>
      <c r="M182" s="6"/>
    </row>
    <row r="183" spans="1:13" ht="15.75" customHeight="1" x14ac:dyDescent="0.25">
      <c r="A183" s="683" t="s">
        <v>21</v>
      </c>
      <c r="B183" s="683" t="s">
        <v>11</v>
      </c>
      <c r="C183" s="238"/>
      <c r="D183" s="683" t="s">
        <v>14</v>
      </c>
      <c r="E183" s="683" t="s">
        <v>15</v>
      </c>
      <c r="F183" s="696" t="s">
        <v>6</v>
      </c>
      <c r="H183" s="6"/>
      <c r="I183" s="6"/>
      <c r="J183" s="6"/>
      <c r="K183" s="6"/>
      <c r="L183" s="6"/>
      <c r="M183" s="6"/>
    </row>
    <row r="184" spans="1:13" x14ac:dyDescent="0.25">
      <c r="A184" s="683"/>
      <c r="B184" s="683"/>
      <c r="C184" s="238"/>
      <c r="D184" s="683"/>
      <c r="E184" s="683"/>
      <c r="F184" s="697"/>
      <c r="H184" s="6"/>
      <c r="I184" s="6"/>
      <c r="J184" s="6"/>
      <c r="K184" s="6"/>
      <c r="L184" s="6"/>
      <c r="M184" s="6"/>
    </row>
    <row r="185" spans="1:13" x14ac:dyDescent="0.25">
      <c r="A185" s="238">
        <v>1</v>
      </c>
      <c r="B185" s="238">
        <v>2</v>
      </c>
      <c r="C185" s="238"/>
      <c r="D185" s="238">
        <v>3</v>
      </c>
      <c r="E185" s="238">
        <v>7</v>
      </c>
      <c r="F185" s="238" t="s">
        <v>187</v>
      </c>
      <c r="H185" s="6"/>
      <c r="I185" s="6"/>
      <c r="J185" s="6"/>
      <c r="K185" s="6"/>
      <c r="L185" s="6"/>
      <c r="M185" s="6"/>
    </row>
    <row r="186" spans="1:13" x14ac:dyDescent="0.25">
      <c r="A186" s="78" t="str">
        <f>'инновации+добровольчество'!A170</f>
        <v xml:space="preserve">Обслуживание систем пожарной сигнализации  </v>
      </c>
      <c r="B186" s="295" t="s">
        <v>22</v>
      </c>
      <c r="C186" s="301"/>
      <c r="D186" s="301">
        <f>12*D182</f>
        <v>4.8239999999999998</v>
      </c>
      <c r="E186" s="301">
        <f>'инновации+добровольчество'!E170</f>
        <v>2000</v>
      </c>
      <c r="F186" s="302">
        <f t="shared" ref="F186:F218" si="9">D186*E186</f>
        <v>9648</v>
      </c>
      <c r="H186" s="6"/>
      <c r="I186" s="6"/>
      <c r="J186" s="6"/>
      <c r="K186" s="6"/>
      <c r="L186" s="6"/>
      <c r="M186" s="6"/>
    </row>
    <row r="187" spans="1:13" x14ac:dyDescent="0.25">
      <c r="A187" s="78" t="str">
        <f>'инновации+добровольчество'!A171</f>
        <v xml:space="preserve">Уборка территории от снега </v>
      </c>
      <c r="B187" s="321" t="s">
        <v>22</v>
      </c>
      <c r="C187" s="301"/>
      <c r="D187" s="301">
        <f>2*D182</f>
        <v>0.80400000000000005</v>
      </c>
      <c r="E187" s="334">
        <f>'инновации+добровольчество'!E171</f>
        <v>20368.73</v>
      </c>
      <c r="F187" s="302">
        <f t="shared" si="9"/>
        <v>16376.458920000001</v>
      </c>
      <c r="H187" s="6"/>
      <c r="I187" s="6"/>
      <c r="J187" s="6"/>
      <c r="K187" s="6"/>
      <c r="L187" s="6"/>
      <c r="M187" s="6"/>
    </row>
    <row r="188" spans="1:13" x14ac:dyDescent="0.25">
      <c r="A188" s="78" t="str">
        <f>'инновации+добровольчество'!A172</f>
        <v>Профилактическая дезинфекция</v>
      </c>
      <c r="B188" s="321" t="s">
        <v>22</v>
      </c>
      <c r="C188" s="301"/>
      <c r="D188" s="301">
        <f>D182</f>
        <v>0.40200000000000002</v>
      </c>
      <c r="E188" s="334">
        <f>'инновации+добровольчество'!E172</f>
        <v>12104.4</v>
      </c>
      <c r="F188" s="302">
        <f t="shared" si="9"/>
        <v>4865.9688000000006</v>
      </c>
      <c r="H188" s="6"/>
      <c r="I188" s="6"/>
      <c r="J188" s="6"/>
      <c r="K188" s="6"/>
      <c r="L188" s="6"/>
      <c r="M188" s="6"/>
    </row>
    <row r="189" spans="1:13" ht="31.5" x14ac:dyDescent="0.25">
      <c r="A189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189" s="321" t="s">
        <v>22</v>
      </c>
      <c r="C189" s="301"/>
      <c r="D189" s="301">
        <f>D182</f>
        <v>0.40200000000000002</v>
      </c>
      <c r="E189" s="334">
        <f>'инновации+добровольчество'!E173</f>
        <v>30000</v>
      </c>
      <c r="F189" s="302">
        <f t="shared" si="9"/>
        <v>12060</v>
      </c>
      <c r="H189" s="6"/>
      <c r="I189" s="6"/>
      <c r="J189" s="6"/>
      <c r="K189" s="6"/>
      <c r="L189" s="6"/>
      <c r="M189" s="6"/>
    </row>
    <row r="190" spans="1:13" x14ac:dyDescent="0.25">
      <c r="A190" s="78" t="str">
        <f>'инновации+добровольчество'!A174</f>
        <v>Договор осмотр технического состояния автомобиля</v>
      </c>
      <c r="B190" s="321" t="s">
        <v>22</v>
      </c>
      <c r="C190" s="301"/>
      <c r="D190" s="301">
        <f>D182*85</f>
        <v>34.17</v>
      </c>
      <c r="E190" s="334">
        <f>'инновации+добровольчество'!E174</f>
        <v>175.75</v>
      </c>
      <c r="F190" s="302">
        <f t="shared" si="9"/>
        <v>6005.3775000000005</v>
      </c>
      <c r="H190" s="6"/>
      <c r="I190" s="6"/>
      <c r="J190" s="6"/>
      <c r="K190" s="6"/>
      <c r="L190" s="6"/>
      <c r="M190" s="6"/>
    </row>
    <row r="191" spans="1:13" x14ac:dyDescent="0.25">
      <c r="A191" s="78" t="str">
        <f>'инновации+добровольчество'!A175</f>
        <v>Разбор и сбор моста</v>
      </c>
      <c r="B191" s="321" t="s">
        <v>22</v>
      </c>
      <c r="C191" s="301"/>
      <c r="D191" s="301">
        <f>D182</f>
        <v>0.40200000000000002</v>
      </c>
      <c r="E191" s="334">
        <f>'инновации+добровольчество'!E175</f>
        <v>9600</v>
      </c>
      <c r="F191" s="302">
        <f t="shared" si="9"/>
        <v>3859.2000000000003</v>
      </c>
      <c r="H191" s="6"/>
      <c r="I191" s="6"/>
      <c r="J191" s="6"/>
      <c r="K191" s="6"/>
      <c r="L191" s="6"/>
      <c r="M191" s="6"/>
    </row>
    <row r="192" spans="1:13" x14ac:dyDescent="0.25">
      <c r="A192" s="78" t="str">
        <f>'инновации+добровольчество'!A176</f>
        <v>Правка передней оси под прессом</v>
      </c>
      <c r="B192" s="321" t="s">
        <v>22</v>
      </c>
      <c r="C192" s="301"/>
      <c r="D192" s="301">
        <f>D182</f>
        <v>0.40200000000000002</v>
      </c>
      <c r="E192" s="334">
        <f>'инновации+добровольчество'!E176</f>
        <v>16000</v>
      </c>
      <c r="F192" s="302">
        <f t="shared" si="9"/>
        <v>6432</v>
      </c>
      <c r="H192" s="6"/>
      <c r="I192" s="6"/>
      <c r="J192" s="6"/>
      <c r="K192" s="6"/>
      <c r="L192" s="6"/>
      <c r="M192" s="6"/>
    </row>
    <row r="193" spans="1:13" x14ac:dyDescent="0.25">
      <c r="A193" s="78" t="str">
        <f>'инновации+добровольчество'!A177</f>
        <v>Ремонт шкворня</v>
      </c>
      <c r="B193" s="321" t="s">
        <v>22</v>
      </c>
      <c r="C193" s="301"/>
      <c r="D193" s="301">
        <f>D182*2</f>
        <v>0.80400000000000005</v>
      </c>
      <c r="E193" s="334">
        <f>'инновации+добровольчество'!E177</f>
        <v>2100</v>
      </c>
      <c r="F193" s="302">
        <f t="shared" si="9"/>
        <v>1688.4</v>
      </c>
      <c r="H193" s="6"/>
      <c r="I193" s="6"/>
      <c r="J193" s="6"/>
      <c r="K193" s="6"/>
      <c r="L193" s="6"/>
      <c r="M193" s="6"/>
    </row>
    <row r="194" spans="1:13" x14ac:dyDescent="0.25">
      <c r="A194" s="78" t="str">
        <f>'инновации+добровольчество'!A178</f>
        <v>Ремонт поворотной цапфы</v>
      </c>
      <c r="B194" s="321" t="s">
        <v>22</v>
      </c>
      <c r="C194" s="301"/>
      <c r="D194" s="334">
        <f>D182*2</f>
        <v>0.80400000000000005</v>
      </c>
      <c r="E194" s="334">
        <f>'инновации+добровольчество'!E178</f>
        <v>1900</v>
      </c>
      <c r="F194" s="302">
        <f t="shared" si="9"/>
        <v>1527.6000000000001</v>
      </c>
      <c r="H194" s="6"/>
      <c r="I194" s="6"/>
      <c r="J194" s="6"/>
      <c r="K194" s="6"/>
      <c r="L194" s="6"/>
      <c r="M194" s="6"/>
    </row>
    <row r="195" spans="1:13" x14ac:dyDescent="0.25">
      <c r="A195" s="78" t="str">
        <f>'инновации+добровольчество'!A179</f>
        <v>Восстановление площадки под крепление рессор</v>
      </c>
      <c r="B195" s="321" t="s">
        <v>22</v>
      </c>
      <c r="C195" s="301"/>
      <c r="D195" s="334">
        <f>D182*2</f>
        <v>0.80400000000000005</v>
      </c>
      <c r="E195" s="334">
        <f>'инновации+добровольчество'!E179</f>
        <v>3100</v>
      </c>
      <c r="F195" s="302">
        <f t="shared" si="9"/>
        <v>2492.4</v>
      </c>
      <c r="H195" s="6"/>
      <c r="I195" s="6"/>
      <c r="J195" s="6"/>
      <c r="K195" s="6"/>
      <c r="L195" s="6"/>
      <c r="M195" s="6"/>
    </row>
    <row r="196" spans="1:13" x14ac:dyDescent="0.25">
      <c r="A196" s="78" t="str">
        <f>'инновации+добровольчество'!A180</f>
        <v>Обработка абразивным кругом</v>
      </c>
      <c r="B196" s="321" t="s">
        <v>22</v>
      </c>
      <c r="C196" s="301"/>
      <c r="D196" s="334">
        <f>D182*2</f>
        <v>0.80400000000000005</v>
      </c>
      <c r="E196" s="334">
        <f>'инновации+добровольчество'!E180</f>
        <v>1950</v>
      </c>
      <c r="F196" s="302">
        <f t="shared" si="9"/>
        <v>1567.8000000000002</v>
      </c>
      <c r="H196" s="6"/>
      <c r="I196" s="6"/>
      <c r="J196" s="6"/>
      <c r="K196" s="6"/>
      <c r="L196" s="6"/>
      <c r="M196" s="6"/>
    </row>
    <row r="197" spans="1:13" x14ac:dyDescent="0.25">
      <c r="A197" s="78" t="str">
        <f>'инновации+добровольчество'!A181</f>
        <v>Ремонт шестерней редуктора</v>
      </c>
      <c r="B197" s="321" t="s">
        <v>22</v>
      </c>
      <c r="C197" s="301"/>
      <c r="D197" s="301">
        <f>$D$191</f>
        <v>0.40200000000000002</v>
      </c>
      <c r="E197" s="334">
        <f>'инновации+добровольчество'!E181</f>
        <v>7850</v>
      </c>
      <c r="F197" s="302">
        <f t="shared" si="9"/>
        <v>3155.7000000000003</v>
      </c>
      <c r="H197" s="6"/>
      <c r="I197" s="6"/>
      <c r="J197" s="6"/>
      <c r="K197" s="6"/>
      <c r="L197" s="6"/>
      <c r="M197" s="6"/>
    </row>
    <row r="198" spans="1:13" x14ac:dyDescent="0.25">
      <c r="A198" s="78" t="str">
        <f>'инновации+добровольчество'!A182</f>
        <v>Ремонт главной пары передний и задний мост</v>
      </c>
      <c r="B198" s="321" t="s">
        <v>22</v>
      </c>
      <c r="C198" s="301"/>
      <c r="D198" s="334">
        <f t="shared" ref="D198:D218" si="10">$D$191</f>
        <v>0.40200000000000002</v>
      </c>
      <c r="E198" s="334">
        <f>'инновации+добровольчество'!E182</f>
        <v>22650</v>
      </c>
      <c r="F198" s="302">
        <f t="shared" si="9"/>
        <v>9105.3000000000011</v>
      </c>
      <c r="H198" s="6"/>
      <c r="I198" s="6"/>
      <c r="J198" s="6"/>
      <c r="K198" s="6"/>
      <c r="L198" s="6"/>
      <c r="M198" s="6"/>
    </row>
    <row r="199" spans="1:13" x14ac:dyDescent="0.25">
      <c r="A199" s="78" t="str">
        <f>'инновации+добровольчество'!A183</f>
        <v>Покраска переднего бампера</v>
      </c>
      <c r="B199" s="321" t="s">
        <v>22</v>
      </c>
      <c r="C199" s="301"/>
      <c r="D199" s="334">
        <f t="shared" si="10"/>
        <v>0.40200000000000002</v>
      </c>
      <c r="E199" s="334">
        <f>'инновации+добровольчество'!E183</f>
        <v>6900</v>
      </c>
      <c r="F199" s="302">
        <f t="shared" si="9"/>
        <v>2773.8</v>
      </c>
      <c r="H199" s="6"/>
      <c r="I199" s="6"/>
      <c r="J199" s="6"/>
      <c r="K199" s="6"/>
      <c r="L199" s="6"/>
      <c r="M199" s="6"/>
    </row>
    <row r="200" spans="1:13" x14ac:dyDescent="0.25">
      <c r="A200" s="78" t="str">
        <f>'инновации+добровольчество'!A184</f>
        <v>Покраска капота</v>
      </c>
      <c r="B200" s="321" t="s">
        <v>22</v>
      </c>
      <c r="C200" s="334"/>
      <c r="D200" s="334">
        <f t="shared" si="10"/>
        <v>0.40200000000000002</v>
      </c>
      <c r="E200" s="334">
        <f>'инновации+добровольчество'!E184</f>
        <v>7400</v>
      </c>
      <c r="F200" s="344">
        <f t="shared" si="9"/>
        <v>2974.8</v>
      </c>
      <c r="H200" s="6"/>
      <c r="I200" s="6"/>
      <c r="J200" s="6"/>
      <c r="K200" s="6"/>
      <c r="L200" s="6"/>
      <c r="M200" s="6"/>
    </row>
    <row r="201" spans="1:13" x14ac:dyDescent="0.25">
      <c r="A201" s="78" t="str">
        <f>'инновации+добровольчество'!A185</f>
        <v>Покраска переднего левого крыла</v>
      </c>
      <c r="B201" s="321" t="s">
        <v>22</v>
      </c>
      <c r="C201" s="334"/>
      <c r="D201" s="334">
        <f t="shared" si="10"/>
        <v>0.40200000000000002</v>
      </c>
      <c r="E201" s="334">
        <f>'инновации+добровольчество'!E185</f>
        <v>8500</v>
      </c>
      <c r="F201" s="344">
        <f t="shared" si="9"/>
        <v>3417</v>
      </c>
      <c r="H201" s="6"/>
      <c r="I201" s="6"/>
      <c r="J201" s="6"/>
      <c r="K201" s="6"/>
      <c r="L201" s="6"/>
      <c r="M201" s="6"/>
    </row>
    <row r="202" spans="1:13" x14ac:dyDescent="0.25">
      <c r="A202" s="78" t="str">
        <f>'инновации+добровольчество'!A186</f>
        <v>Покраска переднего правого крыла</v>
      </c>
      <c r="B202" s="321" t="s">
        <v>22</v>
      </c>
      <c r="C202" s="334"/>
      <c r="D202" s="334">
        <f t="shared" si="10"/>
        <v>0.40200000000000002</v>
      </c>
      <c r="E202" s="334">
        <f>'инновации+добровольчество'!E186</f>
        <v>8500</v>
      </c>
      <c r="F202" s="344">
        <f t="shared" si="9"/>
        <v>3417</v>
      </c>
      <c r="H202" s="6"/>
      <c r="I202" s="6"/>
      <c r="J202" s="6"/>
      <c r="K202" s="6"/>
      <c r="L202" s="6"/>
      <c r="M202" s="6"/>
    </row>
    <row r="203" spans="1:13" x14ac:dyDescent="0.25">
      <c r="A203" s="78" t="str">
        <f>'инновации+добровольчество'!A187</f>
        <v>Покраска передней левой двери</v>
      </c>
      <c r="B203" s="321" t="s">
        <v>22</v>
      </c>
      <c r="C203" s="334"/>
      <c r="D203" s="334">
        <f t="shared" si="10"/>
        <v>0.40200000000000002</v>
      </c>
      <c r="E203" s="334">
        <f>'инновации+добровольчество'!E187</f>
        <v>4000</v>
      </c>
      <c r="F203" s="344">
        <f t="shared" si="9"/>
        <v>1608</v>
      </c>
      <c r="H203" s="6"/>
      <c r="I203" s="6"/>
      <c r="J203" s="6"/>
      <c r="K203" s="6"/>
      <c r="L203" s="6"/>
      <c r="M203" s="6"/>
    </row>
    <row r="204" spans="1:13" x14ac:dyDescent="0.25">
      <c r="A204" s="78" t="str">
        <f>'инновации+добровольчество'!A188</f>
        <v>Покраска двери передней правой</v>
      </c>
      <c r="B204" s="321" t="s">
        <v>22</v>
      </c>
      <c r="C204" s="334"/>
      <c r="D204" s="334">
        <f t="shared" si="10"/>
        <v>0.40200000000000002</v>
      </c>
      <c r="E204" s="334">
        <f>'инновации+добровольчество'!E188</f>
        <v>4000</v>
      </c>
      <c r="F204" s="344">
        <f t="shared" si="9"/>
        <v>1608</v>
      </c>
      <c r="H204" s="6"/>
      <c r="I204" s="6"/>
      <c r="J204" s="6"/>
      <c r="K204" s="6"/>
      <c r="L204" s="6"/>
      <c r="M204" s="6"/>
    </row>
    <row r="205" spans="1:13" x14ac:dyDescent="0.25">
      <c r="A205" s="78" t="str">
        <f>'инновации+добровольчество'!A189</f>
        <v>Покраска стойки правой</v>
      </c>
      <c r="B205" s="321" t="s">
        <v>22</v>
      </c>
      <c r="C205" s="334"/>
      <c r="D205" s="334">
        <f t="shared" si="10"/>
        <v>0.40200000000000002</v>
      </c>
      <c r="E205" s="334">
        <f>'инновации+добровольчество'!E189</f>
        <v>3000</v>
      </c>
      <c r="F205" s="344">
        <f t="shared" si="9"/>
        <v>1206</v>
      </c>
      <c r="H205" s="6"/>
      <c r="I205" s="6"/>
      <c r="J205" s="6"/>
      <c r="K205" s="6"/>
      <c r="L205" s="6"/>
      <c r="M205" s="6"/>
    </row>
    <row r="206" spans="1:13" x14ac:dyDescent="0.25">
      <c r="A206" s="78" t="str">
        <f>'инновации+добровольчество'!A190</f>
        <v>Ремонт заднего бампера</v>
      </c>
      <c r="B206" s="321" t="s">
        <v>22</v>
      </c>
      <c r="C206" s="334"/>
      <c r="D206" s="334">
        <f t="shared" si="10"/>
        <v>0.40200000000000002</v>
      </c>
      <c r="E206" s="334">
        <f>'инновации+добровольчество'!E190</f>
        <v>9500</v>
      </c>
      <c r="F206" s="344">
        <f t="shared" si="9"/>
        <v>3819.0000000000005</v>
      </c>
      <c r="H206" s="6"/>
      <c r="I206" s="6"/>
      <c r="J206" s="6"/>
      <c r="K206" s="6"/>
      <c r="L206" s="6"/>
      <c r="M206" s="6"/>
    </row>
    <row r="207" spans="1:13" x14ac:dyDescent="0.25">
      <c r="A207" s="78" t="str">
        <f>'инновации+добровольчество'!A191</f>
        <v>Покраска заднего бампера</v>
      </c>
      <c r="B207" s="321" t="s">
        <v>22</v>
      </c>
      <c r="C207" s="334"/>
      <c r="D207" s="334">
        <f t="shared" si="10"/>
        <v>0.40200000000000002</v>
      </c>
      <c r="E207" s="334">
        <f>'инновации+добровольчество'!E191</f>
        <v>9000</v>
      </c>
      <c r="F207" s="344">
        <f t="shared" si="9"/>
        <v>3618</v>
      </c>
      <c r="H207" s="6"/>
      <c r="I207" s="6"/>
      <c r="J207" s="6"/>
      <c r="K207" s="6"/>
      <c r="L207" s="6"/>
      <c r="M207" s="6"/>
    </row>
    <row r="208" spans="1:13" x14ac:dyDescent="0.25">
      <c r="A208" s="78" t="str">
        <f>'инновации+добровольчество'!A192</f>
        <v>Полировка кузова</v>
      </c>
      <c r="B208" s="321" t="s">
        <v>22</v>
      </c>
      <c r="C208" s="334"/>
      <c r="D208" s="334">
        <f t="shared" si="10"/>
        <v>0.40200000000000002</v>
      </c>
      <c r="E208" s="334">
        <f>'инновации+добровольчество'!E192</f>
        <v>9600</v>
      </c>
      <c r="F208" s="344">
        <f t="shared" si="9"/>
        <v>3859.2000000000003</v>
      </c>
      <c r="H208" s="6"/>
      <c r="I208" s="6"/>
      <c r="J208" s="6"/>
      <c r="K208" s="6"/>
      <c r="L208" s="6"/>
      <c r="M208" s="6"/>
    </row>
    <row r="209" spans="1:13" x14ac:dyDescent="0.25">
      <c r="A209" s="78" t="str">
        <f>'инновации+добровольчество'!A193</f>
        <v>Покраска крышки багажника</v>
      </c>
      <c r="B209" s="321" t="s">
        <v>22</v>
      </c>
      <c r="C209" s="334"/>
      <c r="D209" s="334">
        <f t="shared" si="10"/>
        <v>0.40200000000000002</v>
      </c>
      <c r="E209" s="334">
        <f>'инновации+добровольчество'!E193</f>
        <v>9500</v>
      </c>
      <c r="F209" s="344">
        <f t="shared" si="9"/>
        <v>3819.0000000000005</v>
      </c>
      <c r="H209" s="6"/>
      <c r="I209" s="6"/>
      <c r="J209" s="6"/>
      <c r="K209" s="6"/>
      <c r="L209" s="6"/>
      <c r="M209" s="6"/>
    </row>
    <row r="210" spans="1:13" x14ac:dyDescent="0.25">
      <c r="A210" s="78" t="str">
        <f>'инновации+добровольчество'!A194</f>
        <v>Полировка стекол со снятием</v>
      </c>
      <c r="B210" s="321" t="s">
        <v>22</v>
      </c>
      <c r="C210" s="334"/>
      <c r="D210" s="334">
        <f t="shared" si="10"/>
        <v>0.40200000000000002</v>
      </c>
      <c r="E210" s="334">
        <f>'инновации+добровольчество'!E194</f>
        <v>5000</v>
      </c>
      <c r="F210" s="344">
        <f t="shared" si="9"/>
        <v>2010.0000000000002</v>
      </c>
      <c r="H210" s="6"/>
      <c r="I210" s="6"/>
      <c r="J210" s="6"/>
      <c r="K210" s="6"/>
      <c r="L210" s="6"/>
      <c r="M210" s="6"/>
    </row>
    <row r="211" spans="1:13" x14ac:dyDescent="0.25">
      <c r="A211" s="78" t="str">
        <f>'инновации+добровольчество'!A195</f>
        <v>Слесарные работы по восстановлению сидений</v>
      </c>
      <c r="B211" s="321" t="s">
        <v>22</v>
      </c>
      <c r="C211" s="301"/>
      <c r="D211" s="334">
        <f t="shared" si="10"/>
        <v>0.40200000000000002</v>
      </c>
      <c r="E211" s="334">
        <f>'инновации+добровольчество'!E195</f>
        <v>15000</v>
      </c>
      <c r="F211" s="344">
        <f t="shared" si="9"/>
        <v>6030</v>
      </c>
      <c r="H211" s="6"/>
      <c r="I211" s="6"/>
      <c r="J211" s="6"/>
      <c r="K211" s="6"/>
      <c r="L211" s="6"/>
      <c r="M211" s="6"/>
    </row>
    <row r="212" spans="1:13" x14ac:dyDescent="0.25">
      <c r="A212" s="78" t="str">
        <f>'инновации+добровольчество'!A196</f>
        <v>Ремонт электрогитары</v>
      </c>
      <c r="B212" s="321" t="s">
        <v>22</v>
      </c>
      <c r="C212" s="301"/>
      <c r="D212" s="334">
        <f t="shared" si="10"/>
        <v>0.40200000000000002</v>
      </c>
      <c r="E212" s="334">
        <f>'инновации+добровольчество'!E196</f>
        <v>2000</v>
      </c>
      <c r="F212" s="344">
        <f t="shared" si="9"/>
        <v>804</v>
      </c>
      <c r="H212" s="6"/>
      <c r="I212" s="6"/>
      <c r="J212" s="6"/>
      <c r="K212" s="6"/>
      <c r="L212" s="6"/>
      <c r="M212" s="6"/>
    </row>
    <row r="213" spans="1:13" x14ac:dyDescent="0.25">
      <c r="A213" s="78" t="str">
        <f>'инновации+добровольчество'!A197</f>
        <v>Ремонт акустической системы</v>
      </c>
      <c r="B213" s="321" t="s">
        <v>22</v>
      </c>
      <c r="C213" s="301"/>
      <c r="D213" s="334">
        <f t="shared" si="10"/>
        <v>0.40200000000000002</v>
      </c>
      <c r="E213" s="334">
        <f>'инновации+добровольчество'!E197</f>
        <v>2000</v>
      </c>
      <c r="F213" s="344">
        <f t="shared" si="9"/>
        <v>804</v>
      </c>
      <c r="H213" s="6"/>
      <c r="I213" s="6"/>
      <c r="J213" s="6"/>
      <c r="K213" s="6"/>
      <c r="L213" s="6"/>
      <c r="M213" s="6"/>
    </row>
    <row r="214" spans="1:13" x14ac:dyDescent="0.25">
      <c r="A214" s="78" t="str">
        <f>'инновации+добровольчество'!A198</f>
        <v>Ремонт микшера (USB канал)</v>
      </c>
      <c r="B214" s="321" t="s">
        <v>22</v>
      </c>
      <c r="C214" s="301"/>
      <c r="D214" s="334">
        <f t="shared" si="10"/>
        <v>0.40200000000000002</v>
      </c>
      <c r="E214" s="334">
        <f>'инновации+добровольчество'!E198</f>
        <v>2000</v>
      </c>
      <c r="F214" s="344">
        <f t="shared" si="9"/>
        <v>804</v>
      </c>
      <c r="H214" s="6"/>
      <c r="I214" s="6"/>
      <c r="J214" s="6"/>
      <c r="K214" s="6"/>
      <c r="L214" s="6"/>
      <c r="M214" s="6"/>
    </row>
    <row r="215" spans="1:13" x14ac:dyDescent="0.25">
      <c r="A215" s="78" t="str">
        <f>'инновации+добровольчество'!A199</f>
        <v>Ремонт комбо басовый</v>
      </c>
      <c r="B215" s="321" t="s">
        <v>22</v>
      </c>
      <c r="C215" s="119"/>
      <c r="D215" s="334">
        <f t="shared" si="10"/>
        <v>0.40200000000000002</v>
      </c>
      <c r="E215" s="334">
        <f>'инновации+добровольчество'!E199</f>
        <v>2000</v>
      </c>
      <c r="F215" s="344">
        <f t="shared" si="9"/>
        <v>804</v>
      </c>
      <c r="H215" s="6"/>
      <c r="I215" s="6"/>
      <c r="J215" s="6"/>
      <c r="K215" s="6"/>
      <c r="L215" s="6"/>
      <c r="M215" s="6"/>
    </row>
    <row r="216" spans="1:13" x14ac:dyDescent="0.25">
      <c r="A216" s="78" t="str">
        <f>'инновации+добровольчество'!A200</f>
        <v>Ремонт Гитарного комбоусителя</v>
      </c>
      <c r="B216" s="321" t="s">
        <v>22</v>
      </c>
      <c r="C216" s="234"/>
      <c r="D216" s="334">
        <f t="shared" si="10"/>
        <v>0.40200000000000002</v>
      </c>
      <c r="E216" s="334">
        <f>'инновации+добровольчество'!E200</f>
        <v>2000</v>
      </c>
      <c r="F216" s="344">
        <f t="shared" si="9"/>
        <v>804</v>
      </c>
      <c r="H216" s="6"/>
      <c r="I216" s="6"/>
      <c r="J216" s="6"/>
      <c r="K216" s="6"/>
      <c r="L216" s="6"/>
      <c r="M216" s="6"/>
    </row>
    <row r="217" spans="1:13" x14ac:dyDescent="0.25">
      <c r="A217" s="78" t="str">
        <f>'инновации+добровольчество'!A201</f>
        <v>Ремонт аккустической системы</v>
      </c>
      <c r="B217" s="321" t="s">
        <v>22</v>
      </c>
      <c r="C217" s="234"/>
      <c r="D217" s="334">
        <f t="shared" si="10"/>
        <v>0.40200000000000002</v>
      </c>
      <c r="E217" s="334">
        <f>'инновации+добровольчество'!E201</f>
        <v>2500</v>
      </c>
      <c r="F217" s="344">
        <f t="shared" si="9"/>
        <v>1005.0000000000001</v>
      </c>
      <c r="H217" s="6"/>
      <c r="I217" s="6"/>
      <c r="J217" s="6"/>
      <c r="K217" s="6"/>
      <c r="L217" s="6"/>
      <c r="M217" s="6"/>
    </row>
    <row r="218" spans="1:13" ht="18.75" customHeight="1" x14ac:dyDescent="0.25">
      <c r="A218" s="78" t="str">
        <f>'инновации+добровольчество'!A202</f>
        <v>Ремонт микшера (сгоревшие каналы)</v>
      </c>
      <c r="B218" s="321" t="s">
        <v>22</v>
      </c>
      <c r="C218" s="234"/>
      <c r="D218" s="334">
        <f t="shared" si="10"/>
        <v>0.40200000000000002</v>
      </c>
      <c r="E218" s="334">
        <f>'инновации+добровольчество'!E202</f>
        <v>7500</v>
      </c>
      <c r="F218" s="344">
        <f t="shared" si="9"/>
        <v>3015</v>
      </c>
      <c r="H218" s="6"/>
      <c r="I218" s="6"/>
      <c r="J218" s="6"/>
      <c r="K218" s="6"/>
      <c r="L218" s="6"/>
      <c r="M218" s="6"/>
    </row>
    <row r="219" spans="1:13" ht="18.75" x14ac:dyDescent="0.25">
      <c r="A219" s="712" t="s">
        <v>23</v>
      </c>
      <c r="B219" s="713"/>
      <c r="C219" s="713"/>
      <c r="D219" s="713"/>
      <c r="E219" s="714"/>
      <c r="F219" s="431">
        <f>SUM(F186:F218)</f>
        <v>126984.00522000001</v>
      </c>
      <c r="H219" s="6"/>
      <c r="I219" s="6"/>
      <c r="J219" s="6"/>
      <c r="K219" s="6"/>
      <c r="L219" s="6"/>
      <c r="M219" s="6"/>
    </row>
    <row r="220" spans="1:13" x14ac:dyDescent="0.25">
      <c r="A220" s="728" t="s">
        <v>29</v>
      </c>
      <c r="B220" s="729"/>
      <c r="C220" s="729"/>
      <c r="D220" s="729"/>
      <c r="E220" s="729"/>
      <c r="F220" s="730"/>
    </row>
    <row r="221" spans="1:13" x14ac:dyDescent="0.25">
      <c r="A221" s="731">
        <f>D182</f>
        <v>0.40200000000000002</v>
      </c>
      <c r="B221" s="732"/>
      <c r="C221" s="732"/>
      <c r="D221" s="732"/>
      <c r="E221" s="732"/>
      <c r="F221" s="733"/>
    </row>
    <row r="222" spans="1:13" ht="15.75" customHeight="1" x14ac:dyDescent="0.25">
      <c r="A222" s="576" t="s">
        <v>30</v>
      </c>
      <c r="B222" s="576" t="s">
        <v>11</v>
      </c>
      <c r="C222" s="231"/>
      <c r="D222" s="576" t="s">
        <v>14</v>
      </c>
      <c r="E222" s="576" t="s">
        <v>15</v>
      </c>
      <c r="F222" s="577" t="s">
        <v>6</v>
      </c>
    </row>
    <row r="223" spans="1:13" x14ac:dyDescent="0.25">
      <c r="A223" s="576"/>
      <c r="B223" s="576"/>
      <c r="C223" s="231"/>
      <c r="D223" s="576"/>
      <c r="E223" s="576"/>
      <c r="F223" s="578"/>
    </row>
    <row r="224" spans="1:13" x14ac:dyDescent="0.25">
      <c r="A224" s="231">
        <v>1</v>
      </c>
      <c r="B224" s="231">
        <v>2</v>
      </c>
      <c r="C224" s="231"/>
      <c r="D224" s="231">
        <v>3</v>
      </c>
      <c r="E224" s="231">
        <v>7</v>
      </c>
      <c r="F224" s="231" t="s">
        <v>187</v>
      </c>
    </row>
    <row r="225" spans="1:6" x14ac:dyDescent="0.25">
      <c r="A225" s="252" t="str">
        <f>'инновации+добровольчество'!A209</f>
        <v>Обучение персонала и тепловые сети</v>
      </c>
      <c r="B225" s="231" t="s">
        <v>22</v>
      </c>
      <c r="C225" s="231"/>
      <c r="D225" s="277">
        <f>2*A221</f>
        <v>0.80400000000000005</v>
      </c>
      <c r="E225" s="277">
        <f>'инновации+добровольчество'!E209</f>
        <v>17600</v>
      </c>
      <c r="F225" s="314">
        <f>D225*E225</f>
        <v>14150.400000000001</v>
      </c>
    </row>
    <row r="226" spans="1:6" x14ac:dyDescent="0.25">
      <c r="A226" s="252" t="str">
        <f>'инновации+добровольчество'!A210</f>
        <v>обучение персонала</v>
      </c>
      <c r="B226" s="458" t="s">
        <v>22</v>
      </c>
      <c r="C226" s="458"/>
      <c r="D226" s="277">
        <f>A221</f>
        <v>0.40200000000000002</v>
      </c>
      <c r="E226" s="277">
        <f>'инновации+добровольчество'!E210</f>
        <v>6800</v>
      </c>
      <c r="F226" s="314">
        <f>D226*E226</f>
        <v>2733.6000000000004</v>
      </c>
    </row>
    <row r="227" spans="1:6" ht="24.75" customHeight="1" x14ac:dyDescent="0.25">
      <c r="A227" s="252" t="str">
        <f>'инновации+добровольчество'!A211</f>
        <v>Услуги СЕМИС подписка</v>
      </c>
      <c r="B227" s="231" t="s">
        <v>22</v>
      </c>
      <c r="C227" s="231"/>
      <c r="D227" s="277">
        <f>A221</f>
        <v>0.40200000000000002</v>
      </c>
      <c r="E227" s="277">
        <f>'инновации+добровольчество'!E211</f>
        <v>1617</v>
      </c>
      <c r="F227" s="314">
        <f t="shared" ref="F227:F248" si="11">D227*E227</f>
        <v>650.03399999999999</v>
      </c>
    </row>
    <row r="228" spans="1:6" ht="24.75" customHeight="1" x14ac:dyDescent="0.25">
      <c r="A228" s="252" t="str">
        <f>'инновации+добровольчество'!A212</f>
        <v>изготовление плакетки, печать дипломов, изготовление значков</v>
      </c>
      <c r="B228" s="458" t="s">
        <v>22</v>
      </c>
      <c r="C228" s="458"/>
      <c r="D228" s="277">
        <f>A221</f>
        <v>0.40200000000000002</v>
      </c>
      <c r="E228" s="277">
        <f>'инновации+добровольчество'!E212</f>
        <v>19305</v>
      </c>
      <c r="F228" s="314">
        <f t="shared" ref="F228" si="12">D228*E228</f>
        <v>7760.6100000000006</v>
      </c>
    </row>
    <row r="229" spans="1:6" x14ac:dyDescent="0.25">
      <c r="A229" s="252" t="str">
        <f>'инновации+добровольчество'!A213</f>
        <v xml:space="preserve">Обслуживание систем пожарной сигнализации  </v>
      </c>
      <c r="B229" s="231" t="s">
        <v>22</v>
      </c>
      <c r="C229" s="231"/>
      <c r="D229" s="277">
        <f>A221</f>
        <v>0.40200000000000002</v>
      </c>
      <c r="E229" s="277">
        <f>'инновации+добровольчество'!E213</f>
        <v>960</v>
      </c>
      <c r="F229" s="314">
        <f t="shared" si="11"/>
        <v>385.92</v>
      </c>
    </row>
    <row r="230" spans="1:6" x14ac:dyDescent="0.25">
      <c r="A230" s="252" t="str">
        <f>'инновации+добровольчество'!A214</f>
        <v xml:space="preserve">Обслуживание систем видеонаблюдения </v>
      </c>
      <c r="B230" s="231" t="s">
        <v>22</v>
      </c>
      <c r="C230" s="231"/>
      <c r="D230" s="277">
        <f>A221*12</f>
        <v>4.8239999999999998</v>
      </c>
      <c r="E230" s="277">
        <f>'инновации+добровольчество'!E214</f>
        <v>1000</v>
      </c>
      <c r="F230" s="314">
        <f t="shared" si="11"/>
        <v>4824</v>
      </c>
    </row>
    <row r="231" spans="1:6" x14ac:dyDescent="0.25">
      <c r="A231" s="252" t="str">
        <f>'инновации+добровольчество'!A215</f>
        <v>Предрейсовое медицинское обследование 247дней*90руб</v>
      </c>
      <c r="B231" s="183" t="s">
        <v>22</v>
      </c>
      <c r="C231" s="231"/>
      <c r="D231" s="277">
        <f>A221</f>
        <v>0.40200000000000002</v>
      </c>
      <c r="E231" s="277">
        <f>'инновации+добровольчество'!E215</f>
        <v>18445</v>
      </c>
      <c r="F231" s="314">
        <f t="shared" si="11"/>
        <v>7414.89</v>
      </c>
    </row>
    <row r="232" spans="1:6" x14ac:dyDescent="0.25">
      <c r="A232" s="252" t="str">
        <f>'инновации+добровольчество'!A216</f>
        <v xml:space="preserve">Услуги охраны  </v>
      </c>
      <c r="B232" s="231" t="s">
        <v>22</v>
      </c>
      <c r="C232" s="231"/>
      <c r="D232" s="277">
        <f>12*A221</f>
        <v>4.8239999999999998</v>
      </c>
      <c r="E232" s="277">
        <f>'инновации+добровольчество'!E216</f>
        <v>8000</v>
      </c>
      <c r="F232" s="314">
        <f t="shared" si="11"/>
        <v>38592</v>
      </c>
    </row>
    <row r="233" spans="1:6" x14ac:dyDescent="0.25">
      <c r="A233" s="252" t="str">
        <f>'инновации+добровольчество'!A217</f>
        <v>Обслуживание систем охранных средств сигнализации (тревожная кнопка)</v>
      </c>
      <c r="B233" s="231" t="s">
        <v>22</v>
      </c>
      <c r="C233" s="231"/>
      <c r="D233" s="277">
        <f>12*A221</f>
        <v>4.8239999999999998</v>
      </c>
      <c r="E233" s="277">
        <f>'инновации+добровольчество'!E217</f>
        <v>5000</v>
      </c>
      <c r="F233" s="314">
        <f t="shared" si="11"/>
        <v>24120</v>
      </c>
    </row>
    <row r="234" spans="1:6" x14ac:dyDescent="0.25">
      <c r="A234" s="252" t="str">
        <f>'инновации+добровольчество'!A218</f>
        <v>Организация светового сопровождения мероприятия</v>
      </c>
      <c r="B234" s="231" t="s">
        <v>22</v>
      </c>
      <c r="C234" s="231"/>
      <c r="D234" s="277">
        <f>A221</f>
        <v>0.40200000000000002</v>
      </c>
      <c r="E234" s="277">
        <f>'инновации+добровольчество'!E218</f>
        <v>31500</v>
      </c>
      <c r="F234" s="314">
        <f t="shared" si="11"/>
        <v>12663</v>
      </c>
    </row>
    <row r="235" spans="1:6" x14ac:dyDescent="0.25">
      <c r="A235" s="252" t="str">
        <f>'инновации+добровольчество'!A219</f>
        <v xml:space="preserve">прохождение мед осмотра при устройстве на работу </v>
      </c>
      <c r="B235" s="231" t="s">
        <v>22</v>
      </c>
      <c r="C235" s="231"/>
      <c r="D235" s="277">
        <f>4*A221</f>
        <v>1.6080000000000001</v>
      </c>
      <c r="E235" s="277">
        <f>'инновации+добровольчество'!E219</f>
        <v>3805.5</v>
      </c>
      <c r="F235" s="314">
        <f t="shared" si="11"/>
        <v>6119.2440000000006</v>
      </c>
    </row>
    <row r="236" spans="1:6" x14ac:dyDescent="0.25">
      <c r="A236" s="252" t="str">
        <f>'инновации+добровольчество'!A220</f>
        <v>Прохождение предварительного мед осмотра</v>
      </c>
      <c r="B236" s="231" t="s">
        <v>22</v>
      </c>
      <c r="C236" s="231"/>
      <c r="D236" s="277">
        <v>0.40200000000000002</v>
      </c>
      <c r="E236" s="277">
        <f>'инновации+добровольчество'!E220</f>
        <v>3040.32</v>
      </c>
      <c r="F236" s="314">
        <f t="shared" si="11"/>
        <v>1222.2086400000001</v>
      </c>
    </row>
    <row r="237" spans="1:6" x14ac:dyDescent="0.25">
      <c r="A237" s="252" t="str">
        <f>'инновации+добровольчество'!A221</f>
        <v>Организация питания воинов-интернационалистов</v>
      </c>
      <c r="B237" s="458" t="s">
        <v>22</v>
      </c>
      <c r="C237" s="458"/>
      <c r="D237" s="277">
        <f>A221</f>
        <v>0.40200000000000002</v>
      </c>
      <c r="E237" s="277">
        <f>'инновации+добровольчество'!E221</f>
        <v>18512</v>
      </c>
      <c r="F237" s="314">
        <f t="shared" ref="F237:F238" si="13">D237*E237</f>
        <v>7441.8240000000005</v>
      </c>
    </row>
    <row r="238" spans="1:6" x14ac:dyDescent="0.25">
      <c r="A238" s="252" t="str">
        <f>'инновации+добровольчество'!A222</f>
        <v>Мед осмотр водителя</v>
      </c>
      <c r="B238" s="458" t="s">
        <v>22</v>
      </c>
      <c r="C238" s="458"/>
      <c r="D238" s="277">
        <f>A221</f>
        <v>0.40200000000000002</v>
      </c>
      <c r="E238" s="277">
        <f>'инновации+добровольчество'!E222</f>
        <v>4989</v>
      </c>
      <c r="F238" s="314">
        <f t="shared" si="13"/>
        <v>2005.5780000000002</v>
      </c>
    </row>
    <row r="239" spans="1:6" x14ac:dyDescent="0.25">
      <c r="A239" s="252" t="str">
        <f>'инновации+добровольчество'!A223</f>
        <v>Страховая премия по полису ОСАГО за УАЗ</v>
      </c>
      <c r="B239" s="262" t="s">
        <v>22</v>
      </c>
      <c r="C239" s="262"/>
      <c r="D239" s="278">
        <f>A221</f>
        <v>0.40200000000000002</v>
      </c>
      <c r="E239" s="277">
        <f>'инновации+добровольчество'!E223</f>
        <v>3600.68</v>
      </c>
      <c r="F239" s="314">
        <f t="shared" si="11"/>
        <v>1447.47336</v>
      </c>
    </row>
    <row r="240" spans="1:6" x14ac:dyDescent="0.25">
      <c r="A240" s="252" t="str">
        <f>'инновации+добровольчество'!A224</f>
        <v>Microsoft Windows</v>
      </c>
      <c r="B240" s="262" t="s">
        <v>22</v>
      </c>
      <c r="C240" s="262"/>
      <c r="D240" s="278">
        <f>0.402*7</f>
        <v>2.8140000000000001</v>
      </c>
      <c r="E240" s="277">
        <f>'инновации+добровольчество'!E224</f>
        <v>4400</v>
      </c>
      <c r="F240" s="314">
        <f t="shared" si="11"/>
        <v>12381.6</v>
      </c>
    </row>
    <row r="241" spans="1:6" x14ac:dyDescent="0.25">
      <c r="A241" s="252" t="str">
        <f>'инновации+добровольчество'!A225</f>
        <v>Microsoft Offise</v>
      </c>
      <c r="B241" s="262" t="s">
        <v>22</v>
      </c>
      <c r="C241" s="262"/>
      <c r="D241" s="277">
        <f>A221*2</f>
        <v>0.80400000000000005</v>
      </c>
      <c r="E241" s="277">
        <f>'инновации+добровольчество'!E225</f>
        <v>6630</v>
      </c>
      <c r="F241" s="314">
        <f t="shared" si="11"/>
        <v>5330.52</v>
      </c>
    </row>
    <row r="242" spans="1:6" x14ac:dyDescent="0.25">
      <c r="A242" s="252" t="str">
        <f>'инновации+добровольчество'!A226</f>
        <v>Dr Web Security</v>
      </c>
      <c r="B242" s="262" t="s">
        <v>22</v>
      </c>
      <c r="C242" s="262"/>
      <c r="D242" s="181">
        <v>0.40200000000000002</v>
      </c>
      <c r="E242" s="277">
        <f>'инновации+добровольчество'!E226</f>
        <v>1450</v>
      </c>
      <c r="F242" s="314">
        <f t="shared" si="11"/>
        <v>582.90000000000009</v>
      </c>
    </row>
    <row r="243" spans="1:6" s="492" customFormat="1" x14ac:dyDescent="0.25">
      <c r="A243" s="488" t="str">
        <f>'инновации+добровольчество'!A227</f>
        <v>Dr Web Security Spase</v>
      </c>
      <c r="B243" s="489" t="s">
        <v>22</v>
      </c>
      <c r="C243" s="489"/>
      <c r="D243" s="490">
        <f>A221</f>
        <v>0.40200000000000002</v>
      </c>
      <c r="E243" s="490">
        <f>'инновации+добровольчество'!E227</f>
        <v>2750</v>
      </c>
      <c r="F243" s="491">
        <f t="shared" si="11"/>
        <v>1105.5</v>
      </c>
    </row>
    <row r="244" spans="1:6" hidden="1" x14ac:dyDescent="0.25">
      <c r="A244" s="252" t="str">
        <f>'инновации+добровольчество'!A228</f>
        <v>Оплата гос пошлины</v>
      </c>
      <c r="B244" s="296" t="str">
        <f>'инновации+добровольчество'!B228</f>
        <v>ед</v>
      </c>
      <c r="C244" s="295"/>
      <c r="D244" s="181">
        <f>D243</f>
        <v>0.40200000000000002</v>
      </c>
      <c r="E244" s="316">
        <f>'инновации+добровольчество'!E228</f>
        <v>0</v>
      </c>
      <c r="F244" s="314">
        <f t="shared" si="11"/>
        <v>0</v>
      </c>
    </row>
    <row r="245" spans="1:6" hidden="1" x14ac:dyDescent="0.25">
      <c r="A245" s="252" t="str">
        <f>'инновации+добровольчество'!A229</f>
        <v xml:space="preserve">Оплата за негативное воздействие </v>
      </c>
      <c r="B245" s="296" t="str">
        <f>'инновации+добровольчество'!B229</f>
        <v>ед</v>
      </c>
      <c r="C245" s="295"/>
      <c r="D245" s="181">
        <f>D243</f>
        <v>0.40200000000000002</v>
      </c>
      <c r="E245" s="316">
        <f>'инновации+добровольчество'!E229</f>
        <v>0</v>
      </c>
      <c r="F245" s="314">
        <f t="shared" si="11"/>
        <v>0</v>
      </c>
    </row>
    <row r="246" spans="1:6" x14ac:dyDescent="0.25">
      <c r="A246" s="252" t="str">
        <f>'инновации+добровольчество'!A230</f>
        <v>ПУГНП</v>
      </c>
      <c r="B246" s="181" t="s">
        <v>91</v>
      </c>
      <c r="C246" s="262"/>
      <c r="D246" s="181">
        <f>PRODUCT(Лист1!G3,$A$221)</f>
        <v>20.100000000000001</v>
      </c>
      <c r="E246" s="259">
        <f>Лист1!H3</f>
        <v>28</v>
      </c>
      <c r="F246" s="314">
        <f t="shared" si="11"/>
        <v>562.80000000000007</v>
      </c>
    </row>
    <row r="247" spans="1:6" x14ac:dyDescent="0.25">
      <c r="A247" s="252" t="str">
        <f>'инновации+добровольчество'!A231</f>
        <v>пакет майка</v>
      </c>
      <c r="B247" s="181" t="s">
        <v>91</v>
      </c>
      <c r="C247" s="262"/>
      <c r="D247" s="181">
        <f>PRODUCT(Лист1!G4,$A$221)</f>
        <v>0.40200000000000002</v>
      </c>
      <c r="E247" s="323">
        <f>Лист1!H4</f>
        <v>5</v>
      </c>
      <c r="F247" s="314">
        <f t="shared" si="11"/>
        <v>2.0100000000000002</v>
      </c>
    </row>
    <row r="248" spans="1:6" x14ac:dyDescent="0.25">
      <c r="A248" s="252" t="str">
        <f>'инновации+добровольчество'!A232</f>
        <v>розетка</v>
      </c>
      <c r="B248" s="181" t="s">
        <v>91</v>
      </c>
      <c r="C248" s="262"/>
      <c r="D248" s="181">
        <f>PRODUCT(Лист1!G5,$A$221)</f>
        <v>2.0100000000000002</v>
      </c>
      <c r="E248" s="323">
        <f>Лист1!H5</f>
        <v>163</v>
      </c>
      <c r="F248" s="314">
        <f t="shared" si="11"/>
        <v>327.63000000000005</v>
      </c>
    </row>
    <row r="249" spans="1:6" x14ac:dyDescent="0.25">
      <c r="A249" s="252" t="str">
        <f>'инновации+добровольчество'!A233</f>
        <v>Вилка евро</v>
      </c>
      <c r="B249" s="181" t="s">
        <v>91</v>
      </c>
      <c r="C249" s="231"/>
      <c r="D249" s="181">
        <f>PRODUCT(Лист1!G6,$A$221)</f>
        <v>2.0100000000000002</v>
      </c>
      <c r="E249" s="323">
        <f>Лист1!H6</f>
        <v>180</v>
      </c>
      <c r="F249" s="314">
        <f t="shared" ref="F249:F282" si="14">D249*E249</f>
        <v>361.80000000000007</v>
      </c>
    </row>
    <row r="250" spans="1:6" x14ac:dyDescent="0.25">
      <c r="A250" s="252" t="str">
        <f>'инновации+добровольчество'!A234</f>
        <v>розетка "Пралеска"</v>
      </c>
      <c r="B250" s="181" t="s">
        <v>91</v>
      </c>
      <c r="C250" s="231"/>
      <c r="D250" s="181">
        <f>PRODUCT(Лист1!G7,$A$221)</f>
        <v>1.206</v>
      </c>
      <c r="E250" s="323">
        <f>Лист1!H7</f>
        <v>379</v>
      </c>
      <c r="F250" s="314">
        <f t="shared" si="14"/>
        <v>457.07400000000001</v>
      </c>
    </row>
    <row r="251" spans="1:6" x14ac:dyDescent="0.25">
      <c r="A251" s="252" t="str">
        <f>'инновации+добровольчество'!A235</f>
        <v>лампа "Онлайт"</v>
      </c>
      <c r="B251" s="181" t="s">
        <v>91</v>
      </c>
      <c r="C251" s="231"/>
      <c r="D251" s="181">
        <f>PRODUCT(Лист1!G8,$A$221)</f>
        <v>10.452</v>
      </c>
      <c r="E251" s="323">
        <f>Лист1!H8</f>
        <v>76</v>
      </c>
      <c r="F251" s="314">
        <f t="shared" si="14"/>
        <v>794.35199999999998</v>
      </c>
    </row>
    <row r="252" spans="1:6" x14ac:dyDescent="0.25">
      <c r="A252" s="252" t="str">
        <f>'инновации+добровольчество'!A236</f>
        <v>пугнп</v>
      </c>
      <c r="B252" s="181" t="s">
        <v>91</v>
      </c>
      <c r="C252" s="231"/>
      <c r="D252" s="181">
        <f>PRODUCT(Лист1!G9,$A$221)</f>
        <v>2.8140000000000001</v>
      </c>
      <c r="E252" s="323">
        <f>Лист1!H9</f>
        <v>28</v>
      </c>
      <c r="F252" s="314">
        <f t="shared" si="14"/>
        <v>78.792000000000002</v>
      </c>
    </row>
    <row r="253" spans="1:6" x14ac:dyDescent="0.25">
      <c r="A253" s="252" t="str">
        <f>'инновации+добровольчество'!A237</f>
        <v>светильник точечный</v>
      </c>
      <c r="B253" s="181" t="s">
        <v>91</v>
      </c>
      <c r="C253" s="231"/>
      <c r="D253" s="181">
        <f>PRODUCT(Лист1!G10,$A$221)</f>
        <v>4.0200000000000005</v>
      </c>
      <c r="E253" s="323">
        <f>Лист1!H10</f>
        <v>68</v>
      </c>
      <c r="F253" s="314">
        <f t="shared" si="14"/>
        <v>273.36</v>
      </c>
    </row>
    <row r="254" spans="1:6" x14ac:dyDescent="0.25">
      <c r="A254" s="252" t="str">
        <f>'инновации+добровольчество'!A238</f>
        <v>светильник точечный</v>
      </c>
      <c r="B254" s="181" t="s">
        <v>91</v>
      </c>
      <c r="C254" s="231"/>
      <c r="D254" s="181">
        <f>PRODUCT(Лист1!G11,$A$221)</f>
        <v>4.0200000000000005</v>
      </c>
      <c r="E254" s="323">
        <f>Лист1!H11</f>
        <v>105</v>
      </c>
      <c r="F254" s="314">
        <f t="shared" si="14"/>
        <v>422.1</v>
      </c>
    </row>
    <row r="255" spans="1:6" x14ac:dyDescent="0.25">
      <c r="A255" s="252" t="str">
        <f>'инновации+добровольчество'!A239</f>
        <v>светильник точечный</v>
      </c>
      <c r="B255" s="181" t="s">
        <v>91</v>
      </c>
      <c r="C255" s="231"/>
      <c r="D255" s="181">
        <f>PRODUCT(Лист1!G12,$A$221)</f>
        <v>2.4119999999999999</v>
      </c>
      <c r="E255" s="323">
        <f>Лист1!H12</f>
        <v>93</v>
      </c>
      <c r="F255" s="314">
        <f t="shared" si="14"/>
        <v>224.316</v>
      </c>
    </row>
    <row r="256" spans="1:6" x14ac:dyDescent="0.25">
      <c r="A256" s="252" t="str">
        <f>'инновации+добровольчество'!A240</f>
        <v>эмаль аэрозоль</v>
      </c>
      <c r="B256" s="181" t="s">
        <v>91</v>
      </c>
      <c r="C256" s="231"/>
      <c r="D256" s="181">
        <f>PRODUCT(Лист1!G13,$A$221)</f>
        <v>0.80400000000000005</v>
      </c>
      <c r="E256" s="323">
        <f>Лист1!H13</f>
        <v>220</v>
      </c>
      <c r="F256" s="314">
        <f t="shared" si="14"/>
        <v>176.88000000000002</v>
      </c>
    </row>
    <row r="257" spans="1:6" x14ac:dyDescent="0.25">
      <c r="A257" s="252" t="str">
        <f>'инновации+добровольчество'!A241</f>
        <v>пила сегментная</v>
      </c>
      <c r="B257" s="181" t="s">
        <v>91</v>
      </c>
      <c r="C257" s="231"/>
      <c r="D257" s="181">
        <f>PRODUCT(Лист1!G14,$A$221)</f>
        <v>0.40200000000000002</v>
      </c>
      <c r="E257" s="323">
        <f>Лист1!H14</f>
        <v>543</v>
      </c>
      <c r="F257" s="314">
        <f t="shared" si="14"/>
        <v>218.286</v>
      </c>
    </row>
    <row r="258" spans="1:6" x14ac:dyDescent="0.25">
      <c r="A258" s="252" t="str">
        <f>'инновации+добровольчество'!A242</f>
        <v>комплект крепежей для батареи</v>
      </c>
      <c r="B258" s="181" t="s">
        <v>91</v>
      </c>
      <c r="C258" s="231"/>
      <c r="D258" s="181">
        <f>PRODUCT(Лист1!G15,$A$221)</f>
        <v>1.206</v>
      </c>
      <c r="E258" s="323">
        <f>Лист1!H15</f>
        <v>270</v>
      </c>
      <c r="F258" s="314">
        <f t="shared" si="14"/>
        <v>325.62</v>
      </c>
    </row>
    <row r="259" spans="1:6" x14ac:dyDescent="0.25">
      <c r="A259" s="252" t="str">
        <f>'инновации+добровольчество'!A243</f>
        <v>набор для радиатора</v>
      </c>
      <c r="B259" s="181" t="s">
        <v>91</v>
      </c>
      <c r="C259" s="231"/>
      <c r="D259" s="181">
        <f>PRODUCT(Лист1!G16,$A$221)</f>
        <v>1.206</v>
      </c>
      <c r="E259" s="323">
        <f>Лист1!H16</f>
        <v>235</v>
      </c>
      <c r="F259" s="314">
        <f t="shared" si="14"/>
        <v>283.40999999999997</v>
      </c>
    </row>
    <row r="260" spans="1:6" x14ac:dyDescent="0.25">
      <c r="A260" s="252" t="str">
        <f>'инновации+добровольчество'!A244</f>
        <v>лампа "Онлайт"</v>
      </c>
      <c r="B260" s="181" t="s">
        <v>91</v>
      </c>
      <c r="C260" s="231"/>
      <c r="D260" s="181">
        <f>PRODUCT(Лист1!G17,$A$221)</f>
        <v>2.0100000000000002</v>
      </c>
      <c r="E260" s="323">
        <f>Лист1!H17</f>
        <v>165</v>
      </c>
      <c r="F260" s="314">
        <f t="shared" si="14"/>
        <v>331.65000000000003</v>
      </c>
    </row>
    <row r="261" spans="1:6" x14ac:dyDescent="0.25">
      <c r="A261" s="252" t="str">
        <f>'инновации+добровольчество'!A245</f>
        <v>Прожектор светодиодный</v>
      </c>
      <c r="B261" s="181" t="s">
        <v>91</v>
      </c>
      <c r="C261" s="231"/>
      <c r="D261" s="181">
        <f>PRODUCT(Лист1!G18,$A$221)</f>
        <v>0.80400000000000005</v>
      </c>
      <c r="E261" s="323">
        <f>Лист1!H18</f>
        <v>280</v>
      </c>
      <c r="F261" s="314">
        <f t="shared" si="14"/>
        <v>225.12</v>
      </c>
    </row>
    <row r="262" spans="1:6" x14ac:dyDescent="0.25">
      <c r="A262" s="252" t="str">
        <f>'инновации+добровольчество'!A246</f>
        <v>скотч 48 мм</v>
      </c>
      <c r="B262" s="181" t="s">
        <v>91</v>
      </c>
      <c r="C262" s="231"/>
      <c r="D262" s="181">
        <f>PRODUCT(Лист1!G19,$A$221)</f>
        <v>4.8239999999999998</v>
      </c>
      <c r="E262" s="323">
        <f>Лист1!H19</f>
        <v>120</v>
      </c>
      <c r="F262" s="314">
        <f t="shared" si="14"/>
        <v>578.88</v>
      </c>
    </row>
    <row r="263" spans="1:6" x14ac:dyDescent="0.25">
      <c r="A263" s="252" t="str">
        <f>'инновации+добровольчество'!A247</f>
        <v>скотч армированный</v>
      </c>
      <c r="B263" s="181" t="s">
        <v>91</v>
      </c>
      <c r="C263" s="231"/>
      <c r="D263" s="181">
        <f>PRODUCT(Лист1!G20,$A$221)</f>
        <v>0.80400000000000005</v>
      </c>
      <c r="E263" s="323">
        <f>Лист1!H20</f>
        <v>77</v>
      </c>
      <c r="F263" s="314">
        <f t="shared" si="14"/>
        <v>61.908000000000001</v>
      </c>
    </row>
    <row r="264" spans="1:6" x14ac:dyDescent="0.25">
      <c r="A264" s="252" t="str">
        <f>'инновации+добровольчество'!A248</f>
        <v>эмаль аэрозоль металлик</v>
      </c>
      <c r="B264" s="181" t="s">
        <v>91</v>
      </c>
      <c r="C264" s="231"/>
      <c r="D264" s="181">
        <f>PRODUCT(Лист1!G21,$A$221)</f>
        <v>0.40200000000000002</v>
      </c>
      <c r="E264" s="323">
        <f>Лист1!H21</f>
        <v>220</v>
      </c>
      <c r="F264" s="314">
        <f t="shared" si="14"/>
        <v>88.440000000000012</v>
      </c>
    </row>
    <row r="265" spans="1:6" x14ac:dyDescent="0.25">
      <c r="A265" s="252" t="str">
        <f>'инновации+добровольчество'!A249</f>
        <v>эмаль аэрозоль коричн</v>
      </c>
      <c r="B265" s="181" t="s">
        <v>91</v>
      </c>
      <c r="C265" s="231"/>
      <c r="D265" s="181">
        <f>PRODUCT(Лист1!G22,$A$221)</f>
        <v>0.40200000000000002</v>
      </c>
      <c r="E265" s="323">
        <f>Лист1!H22</f>
        <v>193</v>
      </c>
      <c r="F265" s="314">
        <f t="shared" si="14"/>
        <v>77.585999999999999</v>
      </c>
    </row>
    <row r="266" spans="1:6" x14ac:dyDescent="0.25">
      <c r="A266" s="252" t="str">
        <f>'инновации+добровольчество'!A250</f>
        <v>эмаль разн цвет</v>
      </c>
      <c r="B266" s="181" t="s">
        <v>91</v>
      </c>
      <c r="C266" s="231"/>
      <c r="D266" s="181">
        <f>PRODUCT(Лист1!G23,$A$221)</f>
        <v>1.6080000000000001</v>
      </c>
      <c r="E266" s="323">
        <f>Лист1!H23</f>
        <v>270</v>
      </c>
      <c r="F266" s="314">
        <f t="shared" si="14"/>
        <v>434.16</v>
      </c>
    </row>
    <row r="267" spans="1:6" x14ac:dyDescent="0.25">
      <c r="A267" s="252" t="str">
        <f>'инновации+добровольчество'!A251</f>
        <v>скоба</v>
      </c>
      <c r="B267" s="181" t="s">
        <v>91</v>
      </c>
      <c r="C267" s="231"/>
      <c r="D267" s="181">
        <f>PRODUCT(Лист1!G24,$A$221)</f>
        <v>2.0100000000000002</v>
      </c>
      <c r="E267" s="323">
        <f>Лист1!H24</f>
        <v>54</v>
      </c>
      <c r="F267" s="314">
        <f t="shared" si="14"/>
        <v>108.54</v>
      </c>
    </row>
    <row r="268" spans="1:6" x14ac:dyDescent="0.25">
      <c r="A268" s="252" t="str">
        <f>'инновации+добровольчество'!A252</f>
        <v>стяжка для провода</v>
      </c>
      <c r="B268" s="181" t="s">
        <v>91</v>
      </c>
      <c r="C268" s="231"/>
      <c r="D268" s="181">
        <f>PRODUCT(Лист1!G25,$A$221)</f>
        <v>0.80400000000000005</v>
      </c>
      <c r="E268" s="323">
        <f>Лист1!H25</f>
        <v>223</v>
      </c>
      <c r="F268" s="314">
        <f t="shared" si="14"/>
        <v>179.292</v>
      </c>
    </row>
    <row r="269" spans="1:6" x14ac:dyDescent="0.25">
      <c r="A269" s="252" t="str">
        <f>'инновации+добровольчество'!A253</f>
        <v>стяжка для провода</v>
      </c>
      <c r="B269" s="181" t="s">
        <v>91</v>
      </c>
      <c r="C269" s="231"/>
      <c r="D269" s="181">
        <f>PRODUCT(Лист1!G26,$A$221)</f>
        <v>0.80400000000000005</v>
      </c>
      <c r="E269" s="323">
        <f>Лист1!H26</f>
        <v>90</v>
      </c>
      <c r="F269" s="314">
        <f t="shared" si="14"/>
        <v>72.36</v>
      </c>
    </row>
    <row r="270" spans="1:6" x14ac:dyDescent="0.25">
      <c r="A270" s="252" t="str">
        <f>'инновации+добровольчество'!A254</f>
        <v>дюбель</v>
      </c>
      <c r="B270" s="181" t="s">
        <v>91</v>
      </c>
      <c r="C270" s="231"/>
      <c r="D270" s="181">
        <f>PRODUCT(Лист1!G27,$A$221)</f>
        <v>79.998000000000005</v>
      </c>
      <c r="E270" s="323">
        <f>Лист1!H27</f>
        <v>1</v>
      </c>
      <c r="F270" s="314">
        <f t="shared" si="14"/>
        <v>79.998000000000005</v>
      </c>
    </row>
    <row r="271" spans="1:6" x14ac:dyDescent="0.25">
      <c r="A271" s="252" t="str">
        <f>'инновации+добровольчество'!A255</f>
        <v>бокорезы</v>
      </c>
      <c r="B271" s="181" t="s">
        <v>91</v>
      </c>
      <c r="C271" s="231"/>
      <c r="D271" s="181">
        <f>PRODUCT(Лист1!G28,$A$221)</f>
        <v>0.40200000000000002</v>
      </c>
      <c r="E271" s="323">
        <f>Лист1!H28</f>
        <v>371</v>
      </c>
      <c r="F271" s="314">
        <f t="shared" si="14"/>
        <v>149.142</v>
      </c>
    </row>
    <row r="272" spans="1:6" x14ac:dyDescent="0.25">
      <c r="A272" s="252" t="str">
        <f>'инновации+добровольчество'!A256</f>
        <v>плоскогубцы</v>
      </c>
      <c r="B272" s="181" t="s">
        <v>91</v>
      </c>
      <c r="C272" s="231"/>
      <c r="D272" s="181">
        <f>PRODUCT(Лист1!G29,$A$221)</f>
        <v>0.40200000000000002</v>
      </c>
      <c r="E272" s="323">
        <f>Лист1!H29</f>
        <v>329</v>
      </c>
      <c r="F272" s="314">
        <f t="shared" si="14"/>
        <v>132.25800000000001</v>
      </c>
    </row>
    <row r="273" spans="1:6" x14ac:dyDescent="0.25">
      <c r="A273" s="252" t="str">
        <f>'инновации+добровольчество'!A257</f>
        <v>бита</v>
      </c>
      <c r="B273" s="181" t="s">
        <v>91</v>
      </c>
      <c r="C273" s="231"/>
      <c r="D273" s="181">
        <f>PRODUCT(Лист1!G30,$A$221)</f>
        <v>0.40200000000000002</v>
      </c>
      <c r="E273" s="323">
        <f>Лист1!H30</f>
        <v>101</v>
      </c>
      <c r="F273" s="314">
        <f t="shared" si="14"/>
        <v>40.602000000000004</v>
      </c>
    </row>
    <row r="274" spans="1:6" x14ac:dyDescent="0.25">
      <c r="A274" s="252" t="str">
        <f>'инновации+добровольчество'!A258</f>
        <v>бита</v>
      </c>
      <c r="B274" s="181" t="s">
        <v>91</v>
      </c>
      <c r="C274" s="231"/>
      <c r="D274" s="181">
        <f>PRODUCT(Лист1!G31,$A$221)</f>
        <v>0.40200000000000002</v>
      </c>
      <c r="E274" s="323">
        <f>Лист1!H31</f>
        <v>61</v>
      </c>
      <c r="F274" s="314">
        <f t="shared" si="14"/>
        <v>24.522000000000002</v>
      </c>
    </row>
    <row r="275" spans="1:6" x14ac:dyDescent="0.25">
      <c r="A275" s="252" t="str">
        <f>'инновации+добровольчество'!A259</f>
        <v>угольник</v>
      </c>
      <c r="B275" s="181" t="s">
        <v>91</v>
      </c>
      <c r="C275" s="231"/>
      <c r="D275" s="181">
        <f>PRODUCT(Лист1!G32,$A$221)</f>
        <v>0.40200000000000002</v>
      </c>
      <c r="E275" s="323">
        <f>Лист1!H32</f>
        <v>582</v>
      </c>
      <c r="F275" s="314">
        <f t="shared" si="14"/>
        <v>233.96400000000003</v>
      </c>
    </row>
    <row r="276" spans="1:6" x14ac:dyDescent="0.25">
      <c r="A276" s="252" t="str">
        <f>'инновации+добровольчество'!A260</f>
        <v>угольник</v>
      </c>
      <c r="B276" s="181" t="s">
        <v>91</v>
      </c>
      <c r="C276" s="231"/>
      <c r="D276" s="181">
        <f>PRODUCT(Лист1!G33,$A$221)</f>
        <v>0.40200000000000002</v>
      </c>
      <c r="E276" s="323">
        <f>Лист1!H33</f>
        <v>449</v>
      </c>
      <c r="F276" s="314">
        <f t="shared" si="14"/>
        <v>180.49800000000002</v>
      </c>
    </row>
    <row r="277" spans="1:6" x14ac:dyDescent="0.25">
      <c r="A277" s="252" t="str">
        <f>'инновации+добровольчество'!A261</f>
        <v>штангенциркуль</v>
      </c>
      <c r="B277" s="181" t="s">
        <v>91</v>
      </c>
      <c r="C277" s="231"/>
      <c r="D277" s="181">
        <f>PRODUCT(Лист1!G34,$A$221)</f>
        <v>0.40200000000000002</v>
      </c>
      <c r="E277" s="323">
        <f>Лист1!H34</f>
        <v>800</v>
      </c>
      <c r="F277" s="314">
        <f t="shared" si="14"/>
        <v>321.60000000000002</v>
      </c>
    </row>
    <row r="278" spans="1:6" x14ac:dyDescent="0.25">
      <c r="A278" s="252" t="str">
        <f>'инновации+добровольчество'!A262</f>
        <v>пугнп 2*1,5</v>
      </c>
      <c r="B278" s="181" t="s">
        <v>91</v>
      </c>
      <c r="C278" s="231"/>
      <c r="D278" s="181">
        <f>PRODUCT(Лист1!G35,$A$221)</f>
        <v>80.400000000000006</v>
      </c>
      <c r="E278" s="323">
        <f>Лист1!H35</f>
        <v>28</v>
      </c>
      <c r="F278" s="314">
        <f t="shared" si="14"/>
        <v>2251.2000000000003</v>
      </c>
    </row>
    <row r="279" spans="1:6" x14ac:dyDescent="0.25">
      <c r="A279" s="252" t="str">
        <f>'инновации+добровольчество'!A263</f>
        <v>пугнп 2*2,5</v>
      </c>
      <c r="B279" s="181" t="s">
        <v>91</v>
      </c>
      <c r="C279" s="231"/>
      <c r="D279" s="181">
        <f>PRODUCT(Лист1!G36,$A$221)</f>
        <v>80.400000000000006</v>
      </c>
      <c r="E279" s="323">
        <f>Лист1!H36</f>
        <v>43</v>
      </c>
      <c r="F279" s="314">
        <f t="shared" si="14"/>
        <v>3457.2000000000003</v>
      </c>
    </row>
    <row r="280" spans="1:6" x14ac:dyDescent="0.25">
      <c r="A280" s="252" t="str">
        <f>'инновации+добровольчество'!A264</f>
        <v>зажимы</v>
      </c>
      <c r="B280" s="181" t="s">
        <v>91</v>
      </c>
      <c r="C280" s="231"/>
      <c r="D280" s="181">
        <f>PRODUCT(Лист1!G37,$A$221)</f>
        <v>2.0100000000000002</v>
      </c>
      <c r="E280" s="323">
        <f>Лист1!H37</f>
        <v>50</v>
      </c>
      <c r="F280" s="314">
        <f t="shared" si="14"/>
        <v>100.50000000000001</v>
      </c>
    </row>
    <row r="281" spans="1:6" x14ac:dyDescent="0.25">
      <c r="A281" s="252" t="str">
        <f>'инновации+добровольчество'!A265</f>
        <v>коробка установочная</v>
      </c>
      <c r="B281" s="181" t="s">
        <v>91</v>
      </c>
      <c r="C281" s="231"/>
      <c r="D281" s="181">
        <f>PRODUCT(Лист1!G38,$A$221)</f>
        <v>4.0200000000000005</v>
      </c>
      <c r="E281" s="323">
        <f>Лист1!H38</f>
        <v>15</v>
      </c>
      <c r="F281" s="314">
        <f t="shared" si="14"/>
        <v>60.300000000000004</v>
      </c>
    </row>
    <row r="282" spans="1:6" x14ac:dyDescent="0.25">
      <c r="A282" s="252" t="str">
        <f>'инновации+добровольчество'!A266</f>
        <v>розетка</v>
      </c>
      <c r="B282" s="181" t="s">
        <v>91</v>
      </c>
      <c r="C282" s="231"/>
      <c r="D282" s="181">
        <f>PRODUCT(Лист1!G39,$A$221)</f>
        <v>4.0200000000000005</v>
      </c>
      <c r="E282" s="323">
        <f>Лист1!H39</f>
        <v>219</v>
      </c>
      <c r="F282" s="314">
        <f t="shared" si="14"/>
        <v>880.38000000000011</v>
      </c>
    </row>
    <row r="283" spans="1:6" x14ac:dyDescent="0.25">
      <c r="A283" s="252" t="str">
        <f>'инновации+добровольчество'!A267</f>
        <v>розетка</v>
      </c>
      <c r="B283" s="181" t="s">
        <v>91</v>
      </c>
      <c r="C283" s="262"/>
      <c r="D283" s="181">
        <f>PRODUCT(Лист1!G40,$A$221)</f>
        <v>2.0100000000000002</v>
      </c>
      <c r="E283" s="323">
        <f>Лист1!H40</f>
        <v>163</v>
      </c>
      <c r="F283" s="314">
        <f t="shared" ref="F283:F326" si="15">D283*E283</f>
        <v>327.63000000000005</v>
      </c>
    </row>
    <row r="284" spans="1:6" x14ac:dyDescent="0.25">
      <c r="A284" s="252" t="str">
        <f>'инновации+добровольчество'!A268</f>
        <v>вилка прямая</v>
      </c>
      <c r="B284" s="181" t="s">
        <v>91</v>
      </c>
      <c r="C284" s="262"/>
      <c r="D284" s="181">
        <f>PRODUCT(Лист1!G41,$A$221)</f>
        <v>0.40200000000000002</v>
      </c>
      <c r="E284" s="323">
        <f>Лист1!H41</f>
        <v>180</v>
      </c>
      <c r="F284" s="314">
        <f t="shared" si="15"/>
        <v>72.36</v>
      </c>
    </row>
    <row r="285" spans="1:6" x14ac:dyDescent="0.25">
      <c r="A285" s="252" t="str">
        <f>'инновации+добровольчество'!A269</f>
        <v>вилка белая</v>
      </c>
      <c r="B285" s="181" t="s">
        <v>91</v>
      </c>
      <c r="C285" s="262"/>
      <c r="D285" s="181">
        <f>PRODUCT(Лист1!G42,$A$221)</f>
        <v>1.6080000000000001</v>
      </c>
      <c r="E285" s="323">
        <f>Лист1!H42</f>
        <v>90</v>
      </c>
      <c r="F285" s="314">
        <f t="shared" si="15"/>
        <v>144.72</v>
      </c>
    </row>
    <row r="286" spans="1:6" x14ac:dyDescent="0.25">
      <c r="A286" s="252" t="str">
        <f>'инновации+добровольчество'!A270</f>
        <v>саморез 3,5*51</v>
      </c>
      <c r="B286" s="181" t="s">
        <v>91</v>
      </c>
      <c r="C286" s="262"/>
      <c r="D286" s="181">
        <f>PRODUCT(Лист1!G43,$A$221)</f>
        <v>293.46000000000004</v>
      </c>
      <c r="E286" s="323">
        <f>Лист1!H43</f>
        <v>1</v>
      </c>
      <c r="F286" s="314">
        <f t="shared" si="15"/>
        <v>293.46000000000004</v>
      </c>
    </row>
    <row r="287" spans="1:6" x14ac:dyDescent="0.25">
      <c r="A287" s="252" t="str">
        <f>'инновации+добровольчество'!A271</f>
        <v>саморез 4,2*70</v>
      </c>
      <c r="B287" s="181" t="s">
        <v>91</v>
      </c>
      <c r="C287" s="262"/>
      <c r="D287" s="181">
        <f>PRODUCT(Лист1!G44,$A$221)</f>
        <v>361.8</v>
      </c>
      <c r="E287" s="323">
        <f>Лист1!H44</f>
        <v>1.5</v>
      </c>
      <c r="F287" s="314">
        <f t="shared" si="15"/>
        <v>542.70000000000005</v>
      </c>
    </row>
    <row r="288" spans="1:6" x14ac:dyDescent="0.25">
      <c r="A288" s="252" t="str">
        <f>'инновации+добровольчество'!A272</f>
        <v>набор пилок</v>
      </c>
      <c r="B288" s="181" t="s">
        <v>91</v>
      </c>
      <c r="C288" s="262"/>
      <c r="D288" s="181">
        <f>PRODUCT(Лист1!G45,$A$221)</f>
        <v>1.206</v>
      </c>
      <c r="E288" s="323">
        <f>Лист1!H45</f>
        <v>200</v>
      </c>
      <c r="F288" s="314">
        <f t="shared" si="15"/>
        <v>241.2</v>
      </c>
    </row>
    <row r="289" spans="1:6" x14ac:dyDescent="0.25">
      <c r="A289" s="252" t="str">
        <f>'инновации+добровольчество'!A273</f>
        <v>комплект радиатора</v>
      </c>
      <c r="B289" s="181" t="s">
        <v>91</v>
      </c>
      <c r="C289" s="262"/>
      <c r="D289" s="181">
        <f>PRODUCT(Лист1!G46,$A$221)</f>
        <v>4.0200000000000005</v>
      </c>
      <c r="E289" s="323">
        <f>Лист1!H46</f>
        <v>279</v>
      </c>
      <c r="F289" s="314">
        <f t="shared" si="15"/>
        <v>1121.5800000000002</v>
      </c>
    </row>
    <row r="290" spans="1:6" x14ac:dyDescent="0.25">
      <c r="A290" s="252" t="str">
        <f>'инновации+добровольчество'!A274</f>
        <v>кран шаровый</v>
      </c>
      <c r="B290" s="181" t="s">
        <v>91</v>
      </c>
      <c r="C290" s="262"/>
      <c r="D290" s="181">
        <f>PRODUCT(Лист1!G47,$A$221)</f>
        <v>8.0400000000000009</v>
      </c>
      <c r="E290" s="323">
        <f>Лист1!H47</f>
        <v>950</v>
      </c>
      <c r="F290" s="314">
        <f t="shared" si="15"/>
        <v>7638.0000000000009</v>
      </c>
    </row>
    <row r="291" spans="1:6" x14ac:dyDescent="0.25">
      <c r="A291" s="252" t="str">
        <f>'инновации+добровольчество'!A275</f>
        <v>Лопата</v>
      </c>
      <c r="B291" s="181" t="s">
        <v>91</v>
      </c>
      <c r="C291" s="262"/>
      <c r="D291" s="181">
        <f>PRODUCT(Лист1!G48,$A$221)</f>
        <v>0.40200000000000002</v>
      </c>
      <c r="E291" s="323">
        <f>Лист1!H48</f>
        <v>1430</v>
      </c>
      <c r="F291" s="314">
        <f t="shared" si="15"/>
        <v>574.86</v>
      </c>
    </row>
    <row r="292" spans="1:6" x14ac:dyDescent="0.25">
      <c r="A292" s="252" t="str">
        <f>'инновации+добровольчество'!A276</f>
        <v>Пружина</v>
      </c>
      <c r="B292" s="181" t="s">
        <v>91</v>
      </c>
      <c r="C292" s="262"/>
      <c r="D292" s="181">
        <f>PRODUCT(Лист1!G49,$A$221)</f>
        <v>10.050000000000001</v>
      </c>
      <c r="E292" s="323">
        <f>Лист1!H49</f>
        <v>55</v>
      </c>
      <c r="F292" s="314">
        <f t="shared" si="15"/>
        <v>552.75</v>
      </c>
    </row>
    <row r="293" spans="1:6" x14ac:dyDescent="0.25">
      <c r="A293" s="252" t="str">
        <f>'инновации+добровольчество'!A277</f>
        <v>смазка, мешки д/мусора, манжета</v>
      </c>
      <c r="B293" s="181" t="s">
        <v>91</v>
      </c>
      <c r="C293" s="262"/>
      <c r="D293" s="181">
        <f>PRODUCT(Лист1!G50,$A$221)</f>
        <v>0.40200000000000002</v>
      </c>
      <c r="E293" s="323">
        <f>Лист1!H50</f>
        <v>6207</v>
      </c>
      <c r="F293" s="314">
        <f t="shared" si="15"/>
        <v>2495.2139999999999</v>
      </c>
    </row>
    <row r="294" spans="1:6" x14ac:dyDescent="0.25">
      <c r="A294" s="252" t="str">
        <f>'инновации+добровольчество'!A278</f>
        <v>ГСМ Дизтопливо</v>
      </c>
      <c r="B294" s="181" t="s">
        <v>91</v>
      </c>
      <c r="C294" s="262"/>
      <c r="D294" s="181">
        <f>PRODUCT(Лист1!G51,$A$221)</f>
        <v>0.40200000000000002</v>
      </c>
      <c r="E294" s="323">
        <f>Лист1!H51</f>
        <v>6200</v>
      </c>
      <c r="F294" s="314">
        <f t="shared" si="15"/>
        <v>2492.4</v>
      </c>
    </row>
    <row r="295" spans="1:6" x14ac:dyDescent="0.25">
      <c r="A295" s="252" t="str">
        <f>'инновации+добровольчество'!A279</f>
        <v>ГСМ 12,1457л.*247дней*44,27 руб.</v>
      </c>
      <c r="B295" s="181" t="s">
        <v>91</v>
      </c>
      <c r="C295" s="262"/>
      <c r="D295" s="181">
        <f>PRODUCT(Лист1!G52,$A$221)</f>
        <v>28.199496</v>
      </c>
      <c r="E295" s="323">
        <f>Лист1!H52</f>
        <v>50</v>
      </c>
      <c r="F295" s="314">
        <f t="shared" si="15"/>
        <v>1409.9748</v>
      </c>
    </row>
    <row r="296" spans="1:6" x14ac:dyDescent="0.25">
      <c r="A296" s="252" t="str">
        <f>'инновации+добровольчество'!A280</f>
        <v>грабли, черенок, лопата</v>
      </c>
      <c r="B296" s="181" t="s">
        <v>91</v>
      </c>
      <c r="C296" s="262"/>
      <c r="D296" s="181">
        <f>PRODUCT(Лист1!G53,$A$221)</f>
        <v>0.40200000000000002</v>
      </c>
      <c r="E296" s="323">
        <f>Лист1!H53</f>
        <v>9100</v>
      </c>
      <c r="F296" s="314">
        <f t="shared" si="15"/>
        <v>3658.2000000000003</v>
      </c>
    </row>
    <row r="297" spans="1:6" x14ac:dyDescent="0.25">
      <c r="A297" s="252" t="str">
        <f>'инновации+добровольчество'!A281</f>
        <v>Чехол для кресла-мешка</v>
      </c>
      <c r="B297" s="181" t="s">
        <v>91</v>
      </c>
      <c r="C297" s="262"/>
      <c r="D297" s="181">
        <f>PRODUCT(Лист1!G54,$A$221)</f>
        <v>2.4119999999999999</v>
      </c>
      <c r="E297" s="323">
        <f>Лист1!H54</f>
        <v>2000</v>
      </c>
      <c r="F297" s="314">
        <f t="shared" si="15"/>
        <v>4824</v>
      </c>
    </row>
    <row r="298" spans="1:6" x14ac:dyDescent="0.25">
      <c r="A298" s="252" t="str">
        <f>'инновации+добровольчество'!A282</f>
        <v>Наполнитель для кресла-мешка</v>
      </c>
      <c r="B298" s="181" t="s">
        <v>91</v>
      </c>
      <c r="C298" s="262"/>
      <c r="D298" s="181">
        <f>PRODUCT(Лист1!G55,$A$221)</f>
        <v>0.80400000000000005</v>
      </c>
      <c r="E298" s="323">
        <f>Лист1!H55</f>
        <v>1500</v>
      </c>
      <c r="F298" s="314">
        <f t="shared" si="15"/>
        <v>1206</v>
      </c>
    </row>
    <row r="299" spans="1:6" x14ac:dyDescent="0.25">
      <c r="A299" s="252" t="str">
        <f>'инновации+добровольчество'!A283</f>
        <v>Фотобумага IST глянцевая 100 листов односторонняя 230гр/м</v>
      </c>
      <c r="B299" s="181" t="s">
        <v>91</v>
      </c>
      <c r="C299" s="262"/>
      <c r="D299" s="181">
        <f>PRODUCT(Лист1!G56,$A$221)</f>
        <v>4.0200000000000005</v>
      </c>
      <c r="E299" s="323">
        <f>Лист1!H56</f>
        <v>900</v>
      </c>
      <c r="F299" s="314">
        <f t="shared" si="15"/>
        <v>3618.0000000000005</v>
      </c>
    </row>
    <row r="300" spans="1:6" x14ac:dyDescent="0.25">
      <c r="A300" s="252" t="str">
        <f>'инновации+добровольчество'!A284</f>
        <v>Фотобумага IST глянцевая 100 листов односторонняя 180гр/м</v>
      </c>
      <c r="B300" s="181" t="s">
        <v>91</v>
      </c>
      <c r="C300" s="262"/>
      <c r="D300" s="181">
        <f>PRODUCT(Лист1!G57,$A$221)</f>
        <v>4.0200000000000005</v>
      </c>
      <c r="E300" s="323">
        <f>Лист1!H57</f>
        <v>700</v>
      </c>
      <c r="F300" s="314">
        <f t="shared" si="15"/>
        <v>2814.0000000000005</v>
      </c>
    </row>
    <row r="301" spans="1:6" x14ac:dyDescent="0.25">
      <c r="A301" s="252" t="str">
        <f>'инновации+добровольчество'!A285</f>
        <v>Фотобумага IST глянцевая 100 листов односторонняя 190гр/м</v>
      </c>
      <c r="B301" s="181" t="s">
        <v>91</v>
      </c>
      <c r="C301" s="262"/>
      <c r="D301" s="181">
        <f>PRODUCT(Лист1!G58,$A$221)</f>
        <v>8.0400000000000009</v>
      </c>
      <c r="E301" s="323">
        <f>Лист1!H58</f>
        <v>350</v>
      </c>
      <c r="F301" s="314">
        <f t="shared" si="15"/>
        <v>2814.0000000000005</v>
      </c>
    </row>
    <row r="302" spans="1:6" x14ac:dyDescent="0.25">
      <c r="A302" s="252" t="str">
        <f>'инновации+добровольчество'!A286</f>
        <v>Тонер ECOSYS</v>
      </c>
      <c r="B302" s="181" t="s">
        <v>91</v>
      </c>
      <c r="C302" s="262"/>
      <c r="D302" s="181">
        <f>PRODUCT(Лист1!G59,$A$221)</f>
        <v>0.80400000000000005</v>
      </c>
      <c r="E302" s="323">
        <f>Лист1!H59</f>
        <v>1500</v>
      </c>
      <c r="F302" s="314">
        <f t="shared" si="15"/>
        <v>1206</v>
      </c>
    </row>
    <row r="303" spans="1:6" x14ac:dyDescent="0.25">
      <c r="A303" s="252" t="str">
        <f>'инновации+добровольчество'!A287</f>
        <v>Картридж НР С2Р42АЕ</v>
      </c>
      <c r="B303" s="181" t="s">
        <v>91</v>
      </c>
      <c r="C303" s="262"/>
      <c r="D303" s="181">
        <f>PRODUCT(Лист1!G60,$A$221)</f>
        <v>0.80400000000000005</v>
      </c>
      <c r="E303" s="323">
        <f>Лист1!H60</f>
        <v>4800</v>
      </c>
      <c r="F303" s="314">
        <f t="shared" si="15"/>
        <v>3859.2000000000003</v>
      </c>
    </row>
    <row r="304" spans="1:6" x14ac:dyDescent="0.25">
      <c r="A304" s="252" t="str">
        <f>'инновации+добровольчество'!A288</f>
        <v>Аккумулятор X-TREME Arctik  78.1</v>
      </c>
      <c r="B304" s="181" t="s">
        <v>91</v>
      </c>
      <c r="C304" s="262"/>
      <c r="D304" s="181">
        <f>PRODUCT(Лист1!G61,$A$221)</f>
        <v>0.40200000000000002</v>
      </c>
      <c r="E304" s="323">
        <f>Лист1!H61</f>
        <v>6900</v>
      </c>
      <c r="F304" s="314">
        <f t="shared" si="15"/>
        <v>2773.8</v>
      </c>
    </row>
    <row r="305" spans="1:6" x14ac:dyDescent="0.25">
      <c r="A305" s="252" t="str">
        <f>'инновации+добровольчество'!A289</f>
        <v>Амортизатор УАЗ 3159 задн. TRIALLI газомасл.3159-2915006 (3159-2915006)</v>
      </c>
      <c r="B305" s="181" t="s">
        <v>91</v>
      </c>
      <c r="C305" s="262"/>
      <c r="D305" s="181">
        <f>PRODUCT(Лист1!G62,$A$221)</f>
        <v>1.6080000000000001</v>
      </c>
      <c r="E305" s="323">
        <f>Лист1!H62</f>
        <v>1560</v>
      </c>
      <c r="F305" s="314">
        <f t="shared" si="15"/>
        <v>2508.48</v>
      </c>
    </row>
    <row r="306" spans="1:6" x14ac:dyDescent="0.25">
      <c r="A306" s="252" t="str">
        <f>'инновации+добровольчество'!A290</f>
        <v>Болт М10*1*25 кардана УАЗ в/сб(уп. 20 шт)</v>
      </c>
      <c r="B306" s="181" t="s">
        <v>91</v>
      </c>
      <c r="C306" s="262"/>
      <c r="D306" s="181">
        <f>PRODUCT(Лист1!G63,$A$221)</f>
        <v>6.4320000000000004</v>
      </c>
      <c r="E306" s="323">
        <f>Лист1!H63</f>
        <v>20</v>
      </c>
      <c r="F306" s="314">
        <f t="shared" si="15"/>
        <v>128.64000000000001</v>
      </c>
    </row>
    <row r="307" spans="1:6" x14ac:dyDescent="0.25">
      <c r="A307" s="252" t="str">
        <f>'инновации+добровольчество'!A291</f>
        <v>Винт М8*1,25*12 потай шлиц.торм.барабана Волга Г-2410 290605 (290605-п29)</v>
      </c>
      <c r="B307" s="181" t="s">
        <v>91</v>
      </c>
      <c r="C307" s="262"/>
      <c r="D307" s="181">
        <f>PRODUCT(Лист1!G64,$A$221)</f>
        <v>9.6479999999999997</v>
      </c>
      <c r="E307" s="323">
        <f>Лист1!H64</f>
        <v>12</v>
      </c>
      <c r="F307" s="314">
        <f t="shared" si="15"/>
        <v>115.776</v>
      </c>
    </row>
    <row r="308" spans="1:6" x14ac:dyDescent="0.25">
      <c r="A308" s="252" t="str">
        <f>'инновации+добровольчество'!A292</f>
        <v>Вкладыш шкворня УАЗ-3160(латунь н/о 2 усика)3160 2304023-10 (3160 2304023-10)</v>
      </c>
      <c r="B308" s="181" t="s">
        <v>91</v>
      </c>
      <c r="C308" s="262"/>
      <c r="D308" s="181">
        <f>PRODUCT(Лист1!G65,$A$221)</f>
        <v>3.2160000000000002</v>
      </c>
      <c r="E308" s="323">
        <f>Лист1!H65</f>
        <v>50</v>
      </c>
      <c r="F308" s="314">
        <f t="shared" si="15"/>
        <v>160.80000000000001</v>
      </c>
    </row>
    <row r="309" spans="1:6" x14ac:dyDescent="0.25">
      <c r="A309" s="252" t="str">
        <f>'инновации+добровольчество'!A293</f>
        <v>Втулка амортизатора Волга ,УАЗ полиуретан 451-2905432 (451-2905432)</v>
      </c>
      <c r="B309" s="181" t="s">
        <v>91</v>
      </c>
      <c r="C309" s="262"/>
      <c r="D309" s="181">
        <f>PRODUCT(Лист1!G66,$A$221)</f>
        <v>8.0400000000000009</v>
      </c>
      <c r="E309" s="323">
        <f>Лист1!H66</f>
        <v>36</v>
      </c>
      <c r="F309" s="314">
        <f t="shared" si="15"/>
        <v>289.44000000000005</v>
      </c>
    </row>
    <row r="310" spans="1:6" x14ac:dyDescent="0.25">
      <c r="A310" s="252" t="str">
        <f>'инновации+добровольчество'!A294</f>
        <v>Гайка колесная  М14*1,5 (18, ключ 22) Волга, Соболь, УАЗ</v>
      </c>
      <c r="B310" s="181" t="s">
        <v>91</v>
      </c>
      <c r="C310" s="262"/>
      <c r="D310" s="181">
        <f>PRODUCT(Лист1!G67,$A$221)</f>
        <v>8.0400000000000009</v>
      </c>
      <c r="E310" s="323">
        <f>Лист1!H67</f>
        <v>18</v>
      </c>
      <c r="F310" s="314">
        <f t="shared" si="15"/>
        <v>144.72000000000003</v>
      </c>
    </row>
    <row r="311" spans="1:6" x14ac:dyDescent="0.25">
      <c r="A311" s="252" t="str">
        <f>'инновации+добровольчество'!A295</f>
        <v>Катушка зажигания 405 дв.(АТЭ-1)3032.3705 (3032.3705)</v>
      </c>
      <c r="B311" s="181" t="s">
        <v>91</v>
      </c>
      <c r="C311" s="262"/>
      <c r="D311" s="181">
        <f>PRODUCT(Лист1!G68,$A$221)</f>
        <v>1.6080000000000001</v>
      </c>
      <c r="E311" s="323">
        <f>Лист1!H68</f>
        <v>875</v>
      </c>
      <c r="F311" s="314">
        <f t="shared" si="15"/>
        <v>1407</v>
      </c>
    </row>
    <row r="312" spans="1:6" ht="30" x14ac:dyDescent="0.25">
      <c r="A312" s="252" t="str">
        <f>'инновации+добровольчество'!A296</f>
        <v>Колодка переднего тормоза (к-т 4 шт.)УАЗ Оригинал(ТИИР) 3163 3501088 (3163 3501088)</v>
      </c>
      <c r="B312" s="181" t="s">
        <v>91</v>
      </c>
      <c r="C312" s="262"/>
      <c r="D312" s="181">
        <f>PRODUCT(Лист1!G69,$A$221)</f>
        <v>1.6080000000000001</v>
      </c>
      <c r="E312" s="323">
        <f>Лист1!H69</f>
        <v>672</v>
      </c>
      <c r="F312" s="314">
        <f t="shared" si="15"/>
        <v>1080.576</v>
      </c>
    </row>
    <row r="313" spans="1:6" x14ac:dyDescent="0.25">
      <c r="A313" s="252" t="str">
        <f>'инновации+добровольчество'!A297</f>
        <v>Кольцо крестовины карданного вала</v>
      </c>
      <c r="B313" s="181" t="s">
        <v>91</v>
      </c>
      <c r="C313" s="262"/>
      <c r="D313" s="181">
        <f>PRODUCT(Лист1!G70,$A$221)</f>
        <v>3.2160000000000002</v>
      </c>
      <c r="E313" s="323">
        <f>Лист1!H70</f>
        <v>10</v>
      </c>
      <c r="F313" s="314">
        <f t="shared" si="15"/>
        <v>32.160000000000004</v>
      </c>
    </row>
    <row r="314" spans="1:6" ht="30" x14ac:dyDescent="0.25">
      <c r="A314" s="252" t="str">
        <f>'инновации+добровольчество'!A298</f>
        <v>Комплект ГРМ(полный)ЗМЗ 405-409 ЕВРО-3 "Идеальная фаза"(двухрядная цепь 72/92 Ditton)406.3906625-05 (406.3906625-05)</v>
      </c>
      <c r="B314" s="181" t="s">
        <v>91</v>
      </c>
      <c r="C314" s="262"/>
      <c r="D314" s="181">
        <f>PRODUCT(Лист1!G71,$A$221)</f>
        <v>0.40200000000000002</v>
      </c>
      <c r="E314" s="323">
        <f>Лист1!H71</f>
        <v>6377</v>
      </c>
      <c r="F314" s="314">
        <f t="shared" si="15"/>
        <v>2563.5540000000001</v>
      </c>
    </row>
    <row r="315" spans="1:6" x14ac:dyDescent="0.25">
      <c r="A315" s="252" t="str">
        <f>'инновации+добровольчество'!A299</f>
        <v>Комплект прокладок на дв.4091 Саморим УАЗ 452</v>
      </c>
      <c r="B315" s="181" t="s">
        <v>91</v>
      </c>
      <c r="C315" s="262"/>
      <c r="D315" s="181">
        <f>PRODUCT(Лист1!G72,$A$221)</f>
        <v>0.40200000000000002</v>
      </c>
      <c r="E315" s="323">
        <f>Лист1!H72</f>
        <v>1037</v>
      </c>
      <c r="F315" s="314">
        <f t="shared" si="15"/>
        <v>416.87400000000002</v>
      </c>
    </row>
    <row r="316" spans="1:6" ht="30" x14ac:dyDescent="0.25">
      <c r="A316" s="252" t="str">
        <f>'инновации+добровольчество'!A300</f>
        <v>Крестовина кардан.вала УАЗ(АДС)с масленкой и стопорными кольцами 42000.0469-2201025-00 (ВК469-2201025)</v>
      </c>
      <c r="B316" s="181" t="s">
        <v>91</v>
      </c>
      <c r="C316" s="262"/>
      <c r="D316" s="181">
        <f>PRODUCT(Лист1!G73,$A$221)</f>
        <v>1.6080000000000001</v>
      </c>
      <c r="E316" s="323">
        <f>Лист1!H73</f>
        <v>570</v>
      </c>
      <c r="F316" s="314">
        <f t="shared" si="15"/>
        <v>916.56000000000006</v>
      </c>
    </row>
    <row r="317" spans="1:6" x14ac:dyDescent="0.25">
      <c r="A317" s="252" t="str">
        <f>'инновации+добровольчество'!A301</f>
        <v>Накладка педали сцепления УАЗ 2206</v>
      </c>
      <c r="B317" s="181" t="s">
        <v>91</v>
      </c>
      <c r="C317" s="262"/>
      <c r="D317" s="181">
        <f>PRODUCT(Лист1!G74,$A$221)</f>
        <v>0.40200000000000002</v>
      </c>
      <c r="E317" s="323">
        <f>Лист1!H74</f>
        <v>29</v>
      </c>
      <c r="F317" s="314">
        <f t="shared" si="15"/>
        <v>11.658000000000001</v>
      </c>
    </row>
    <row r="318" spans="1:6" x14ac:dyDescent="0.25">
      <c r="A318" s="252" t="str">
        <f>'инновации+добровольчество'!A302</f>
        <v>Наконечник рулевой тяги левый "АДС-Expert" 469-3414057-01 (469-3414057-01)</v>
      </c>
      <c r="B318" s="181" t="s">
        <v>91</v>
      </c>
      <c r="C318" s="262"/>
      <c r="D318" s="181">
        <f>PRODUCT(Лист1!G75,$A$221)</f>
        <v>0.80400000000000005</v>
      </c>
      <c r="E318" s="323">
        <f>Лист1!H75</f>
        <v>450</v>
      </c>
      <c r="F318" s="314">
        <f t="shared" si="15"/>
        <v>361.8</v>
      </c>
    </row>
    <row r="319" spans="1:6" x14ac:dyDescent="0.25">
      <c r="A319" s="252" t="str">
        <f>'инновации+добровольчество'!A303</f>
        <v>Наконечник рулевой тяги правый "АДС-Expert" 469-3414056-01 (469-3414056-01)</v>
      </c>
      <c r="B319" s="181" t="s">
        <v>91</v>
      </c>
      <c r="C319" s="262"/>
      <c r="D319" s="181">
        <f>PRODUCT(Лист1!G76,$A$221)</f>
        <v>2.4119999999999999</v>
      </c>
      <c r="E319" s="323">
        <f>Лист1!H76</f>
        <v>450</v>
      </c>
      <c r="F319" s="314">
        <f t="shared" si="15"/>
        <v>1085.3999999999999</v>
      </c>
    </row>
    <row r="320" spans="1:6" x14ac:dyDescent="0.25">
      <c r="A320" s="252" t="str">
        <f>'инновации+добровольчество'!A304</f>
        <v>Патрубки радиатора УАЗ Патриот 409дв.без кондиционера(силикон)(к-т 3шт)</v>
      </c>
      <c r="B320" s="181" t="s">
        <v>91</v>
      </c>
      <c r="C320" s="262"/>
      <c r="D320" s="181">
        <f>PRODUCT(Лист1!G77,$A$221)</f>
        <v>0.40200000000000002</v>
      </c>
      <c r="E320" s="323">
        <f>Лист1!H77</f>
        <v>1920</v>
      </c>
      <c r="F320" s="314">
        <f t="shared" si="15"/>
        <v>771.84</v>
      </c>
    </row>
    <row r="321" spans="1:6" x14ac:dyDescent="0.25">
      <c r="A321" s="252" t="str">
        <f>'инновации+добровольчество'!A305</f>
        <v>Подшипник ступичный 127509</v>
      </c>
      <c r="B321" s="181" t="s">
        <v>91</v>
      </c>
      <c r="C321" s="262"/>
      <c r="D321" s="181">
        <f>PRODUCT(Лист1!G78,$A$221)</f>
        <v>3.2160000000000002</v>
      </c>
      <c r="E321" s="323">
        <f>Лист1!H78</f>
        <v>592</v>
      </c>
      <c r="F321" s="314">
        <f t="shared" si="15"/>
        <v>1903.8720000000001</v>
      </c>
    </row>
    <row r="322" spans="1:6" x14ac:dyDescent="0.25">
      <c r="A322" s="252" t="str">
        <f>'инновации+добровольчество'!A306</f>
        <v>Провода в/в 4091 дв.с наконеч.силикон.4091-3707244 (4091-3707244)</v>
      </c>
      <c r="B322" s="181" t="s">
        <v>91</v>
      </c>
      <c r="C322" s="262"/>
      <c r="D322" s="181">
        <f>PRODUCT(Лист1!G79,$A$221)</f>
        <v>0.80400000000000005</v>
      </c>
      <c r="E322" s="323">
        <f>Лист1!H79</f>
        <v>1025</v>
      </c>
      <c r="F322" s="314">
        <f t="shared" si="15"/>
        <v>824.1</v>
      </c>
    </row>
    <row r="323" spans="1:6" x14ac:dyDescent="0.25">
      <c r="A323" s="252" t="str">
        <f>'инновации+добровольчество'!A307</f>
        <v>Прокладка крышки полуоси(паронит)3151-2407048 (3151-2407048)</v>
      </c>
      <c r="B323" s="181" t="s">
        <v>91</v>
      </c>
      <c r="C323" s="262"/>
      <c r="D323" s="181">
        <f>PRODUCT(Лист1!G80,$A$221)</f>
        <v>4.0200000000000005</v>
      </c>
      <c r="E323" s="323">
        <f>Лист1!H80</f>
        <v>15</v>
      </c>
      <c r="F323" s="314">
        <f t="shared" si="15"/>
        <v>60.300000000000004</v>
      </c>
    </row>
    <row r="324" spans="1:6" ht="30" x14ac:dyDescent="0.25">
      <c r="A324" s="252" t="str">
        <f>'инновации+добровольчество'!A308</f>
        <v>Ремень (1275  мм 6РК) ЗМЗ-40524, 40525 ЕВРО -3 без ГУР "LUZAR" (40624 1308020-01)</v>
      </c>
      <c r="B324" s="181" t="s">
        <v>91</v>
      </c>
      <c r="C324" s="262"/>
      <c r="D324" s="181">
        <f>PRODUCT(Лист1!G81,$A$221)</f>
        <v>1.206</v>
      </c>
      <c r="E324" s="323">
        <f>Лист1!H81</f>
        <v>467</v>
      </c>
      <c r="F324" s="314">
        <f t="shared" si="15"/>
        <v>563.202</v>
      </c>
    </row>
    <row r="325" spans="1:6" ht="30" x14ac:dyDescent="0.25">
      <c r="A325" s="252" t="str">
        <f>'инновации+добровольчество'!A309</f>
        <v>Ремень 1195 - 6 РК привода ГУР "OLEX POLY V BELT"3163-00-1308020-02 (3163-00-1308020-02)</v>
      </c>
      <c r="B325" s="181" t="s">
        <v>91</v>
      </c>
      <c r="C325" s="262"/>
      <c r="D325" s="181">
        <f>PRODUCT(Лист1!G82,$A$221)</f>
        <v>1.206</v>
      </c>
      <c r="E325" s="323">
        <f>Лист1!H82</f>
        <v>285</v>
      </c>
      <c r="F325" s="314">
        <f t="shared" si="15"/>
        <v>343.71</v>
      </c>
    </row>
    <row r="326" spans="1:6" x14ac:dyDescent="0.25">
      <c r="A326" s="252" t="str">
        <f>'инновации+добровольчество'!A310</f>
        <v>Ремень буксировочный 6/9т 6м (а/м до 3т)  Крюк/Крюк +сумка(олива) Tplus</v>
      </c>
      <c r="B326" s="181" t="s">
        <v>91</v>
      </c>
      <c r="C326" s="262"/>
      <c r="D326" s="181">
        <f>PRODUCT(Лист1!G83,$A$221)</f>
        <v>0.40200000000000002</v>
      </c>
      <c r="E326" s="323">
        <f>Лист1!H83</f>
        <v>1260</v>
      </c>
      <c r="F326" s="314">
        <f t="shared" si="15"/>
        <v>506.52000000000004</v>
      </c>
    </row>
    <row r="327" spans="1:6" ht="30" x14ac:dyDescent="0.25">
      <c r="A327" s="252" t="str">
        <f>'инновации+добровольчество'!A311</f>
        <v>Ремкомплект поворотного кулака УАЗ мост Спайсер с полиуретановым сальником 3160-2304052 (3160-2304052)</v>
      </c>
      <c r="B327" s="181" t="s">
        <v>91</v>
      </c>
      <c r="C327" s="262"/>
      <c r="D327" s="181">
        <f>PRODUCT(Лист1!G84,$A$221)</f>
        <v>1.6080000000000001</v>
      </c>
      <c r="E327" s="323">
        <f>Лист1!H84</f>
        <v>191</v>
      </c>
      <c r="F327" s="314">
        <f t="shared" ref="F327:F390" si="16">D327*E327</f>
        <v>307.12800000000004</v>
      </c>
    </row>
    <row r="328" spans="1:6" ht="30" x14ac:dyDescent="0.25">
      <c r="A328" s="252" t="str">
        <f>'инновации+добровольчество'!A312</f>
        <v>Ремкомплект шкворня УАЗ Хантер,Патриот мост Спайсер н/о(2 уса) с вкладышами)"Ваксойл"3163-230401 (3163-230401)</v>
      </c>
      <c r="B328" s="181" t="s">
        <v>91</v>
      </c>
      <c r="C328" s="262"/>
      <c r="D328" s="181">
        <f>PRODUCT(Лист1!G85,$A$221)</f>
        <v>0.80400000000000005</v>
      </c>
      <c r="E328" s="323">
        <f>Лист1!H85</f>
        <v>2845</v>
      </c>
      <c r="F328" s="314">
        <f t="shared" si="16"/>
        <v>2287.38</v>
      </c>
    </row>
    <row r="329" spans="1:6" ht="30" x14ac:dyDescent="0.25">
      <c r="A329" s="252" t="str">
        <f>'инновации+добровольчество'!A313</f>
        <v>Сайлентблок передней подвески УАЗ резинометаллический (малый) 3160-2909027 (3160-2909027)</v>
      </c>
      <c r="B329" s="181" t="s">
        <v>91</v>
      </c>
      <c r="C329" s="262"/>
      <c r="D329" s="181">
        <f>PRODUCT(Лист1!G86,$A$221)</f>
        <v>2.4119999999999999</v>
      </c>
      <c r="E329" s="323">
        <f>Лист1!H86</f>
        <v>405</v>
      </c>
      <c r="F329" s="314">
        <f t="shared" si="16"/>
        <v>976.86</v>
      </c>
    </row>
    <row r="330" spans="1:6" x14ac:dyDescent="0.25">
      <c r="A330" s="252" t="str">
        <f>'инновации+добровольчество'!A314</f>
        <v>Сайлентблок рессоры УАЗ-Патриот 3163(завод)3163-2912020 (3163-2912020)</v>
      </c>
      <c r="B330" s="181" t="s">
        <v>91</v>
      </c>
      <c r="C330" s="262"/>
      <c r="D330" s="181">
        <f>PRODUCT(Лист1!G87,$A$221)</f>
        <v>3.2160000000000002</v>
      </c>
      <c r="E330" s="323">
        <f>Лист1!H87</f>
        <v>288</v>
      </c>
      <c r="F330" s="314">
        <f t="shared" si="16"/>
        <v>926.20800000000008</v>
      </c>
    </row>
    <row r="331" spans="1:6" ht="30" x14ac:dyDescent="0.25">
      <c r="A331" s="252" t="str">
        <f>'инновации+добровольчество'!A315</f>
        <v>Сальник (55х70х8) коленвала передний 406дв."Кортеко"(Германия)406.1005034-02 (406.1005034-02)</v>
      </c>
      <c r="B331" s="181" t="s">
        <v>91</v>
      </c>
      <c r="C331" s="262"/>
      <c r="D331" s="181">
        <f>PRODUCT(Лист1!G88,$A$221)</f>
        <v>0.80400000000000005</v>
      </c>
      <c r="E331" s="323">
        <f>Лист1!H88</f>
        <v>198</v>
      </c>
      <c r="F331" s="314">
        <f t="shared" si="16"/>
        <v>159.19200000000001</v>
      </c>
    </row>
    <row r="332" spans="1:6" x14ac:dyDescent="0.25">
      <c r="A332" s="252" t="str">
        <f>'инновации+добровольчество'!A316</f>
        <v>Сальник (60х85х10) ступицы  NAK International 3741-3103038 (3741-3103038)</v>
      </c>
      <c r="B332" s="181" t="s">
        <v>91</v>
      </c>
      <c r="C332" s="262"/>
      <c r="D332" s="181">
        <f>PRODUCT(Лист1!G89,$A$221)</f>
        <v>9.6479999999999997</v>
      </c>
      <c r="E332" s="323">
        <f>Лист1!H89</f>
        <v>192</v>
      </c>
      <c r="F332" s="314">
        <f t="shared" si="16"/>
        <v>1852.4159999999999</v>
      </c>
    </row>
    <row r="333" spans="1:6" x14ac:dyDescent="0.25">
      <c r="A333" s="252" t="str">
        <f>'инновации+добровольчество'!A317</f>
        <v>Сальник к/вала задний 100л.с. 80х100х10(NAK intarnational)</v>
      </c>
      <c r="B333" s="181" t="s">
        <v>91</v>
      </c>
      <c r="C333" s="262"/>
      <c r="D333" s="181">
        <f>PRODUCT(Лист1!G90,$A$221)</f>
        <v>0.80400000000000005</v>
      </c>
      <c r="E333" s="323">
        <f>Лист1!H90</f>
        <v>187</v>
      </c>
      <c r="F333" s="314">
        <f t="shared" si="16"/>
        <v>150.34800000000001</v>
      </c>
    </row>
    <row r="334" spans="1:6" ht="30" x14ac:dyDescent="0.25">
      <c r="A334" s="252" t="str">
        <f>'инновации+добровольчество'!A318</f>
        <v>Сальник хвостовика 42х68х 10/14,5 усиленный "NAK"3741-00-1701210-03 (3741-00-1701210-03)</v>
      </c>
      <c r="B334" s="181" t="s">
        <v>91</v>
      </c>
      <c r="C334" s="262"/>
      <c r="D334" s="181">
        <f>PRODUCT(Лист1!G91,$A$221)</f>
        <v>3.2160000000000002</v>
      </c>
      <c r="E334" s="323">
        <f>Лист1!H91</f>
        <v>175</v>
      </c>
      <c r="F334" s="314">
        <f t="shared" si="16"/>
        <v>562.80000000000007</v>
      </c>
    </row>
    <row r="335" spans="1:6" x14ac:dyDescent="0.25">
      <c r="A335" s="252" t="str">
        <f>'инновации+добровольчество'!A319</f>
        <v>Сальник шруса (в мет. обойме)(32х50х10)(19000078)3741-2304071 (3741-2304071)</v>
      </c>
      <c r="B335" s="181" t="s">
        <v>91</v>
      </c>
      <c r="C335" s="262"/>
      <c r="D335" s="181">
        <f>PRODUCT(Лист1!G92,$A$221)</f>
        <v>1.6080000000000001</v>
      </c>
      <c r="E335" s="323">
        <f>Лист1!H92</f>
        <v>59</v>
      </c>
      <c r="F335" s="314">
        <f t="shared" si="16"/>
        <v>94.872</v>
      </c>
    </row>
    <row r="336" spans="1:6" x14ac:dyDescent="0.25">
      <c r="A336" s="252" t="str">
        <f>'инновации+добровольчество'!A320</f>
        <v>Свеча зажигания DENSO  Q16ТТ#4  4607#4 (1 шт.)</v>
      </c>
      <c r="B336" s="181" t="s">
        <v>91</v>
      </c>
      <c r="C336" s="262"/>
      <c r="D336" s="181">
        <f>PRODUCT(Лист1!G93,$A$221)</f>
        <v>3.2160000000000002</v>
      </c>
      <c r="E336" s="323">
        <f>Лист1!H93</f>
        <v>185</v>
      </c>
      <c r="F336" s="314">
        <f t="shared" si="16"/>
        <v>594.96</v>
      </c>
    </row>
    <row r="337" spans="1:6" x14ac:dyDescent="0.25">
      <c r="A337" s="252" t="str">
        <f>'инновации+добровольчество'!A321</f>
        <v>Скоба омегообр. с резьбой г/п 2,0т тип G 209 ХЛ</v>
      </c>
      <c r="B337" s="181" t="s">
        <v>91</v>
      </c>
      <c r="C337" s="262"/>
      <c r="D337" s="181">
        <f>PRODUCT(Лист1!G94,$A$221)</f>
        <v>0.40200000000000002</v>
      </c>
      <c r="E337" s="323">
        <f>Лист1!H94</f>
        <v>175</v>
      </c>
      <c r="F337" s="314">
        <f t="shared" si="16"/>
        <v>70.350000000000009</v>
      </c>
    </row>
    <row r="338" spans="1:6" x14ac:dyDescent="0.25">
      <c r="A338" s="252" t="str">
        <f>'инновации+добровольчество'!A322</f>
        <v>Строп динамический (рывковый) 6т,  9 м, серия "Стандарт" TPlus</v>
      </c>
      <c r="B338" s="181" t="s">
        <v>91</v>
      </c>
      <c r="C338" s="262"/>
      <c r="D338" s="181">
        <f>PRODUCT(Лист1!G95,$A$221)</f>
        <v>0.40200000000000002</v>
      </c>
      <c r="E338" s="323">
        <f>Лист1!H95</f>
        <v>1750</v>
      </c>
      <c r="F338" s="314">
        <f t="shared" si="16"/>
        <v>703.5</v>
      </c>
    </row>
    <row r="339" spans="1:6" ht="30" x14ac:dyDescent="0.25">
      <c r="A339" s="252" t="str">
        <f>'инновации+добровольчество'!A323</f>
        <v>Ступица заднего колеса УАЗ-3163(с имп.диском в сборе АБС)3163-3104006 (3163-3104006)</v>
      </c>
      <c r="B339" s="181" t="s">
        <v>91</v>
      </c>
      <c r="C339" s="262"/>
      <c r="D339" s="181">
        <f>PRODUCT(Лист1!G96,$A$221)</f>
        <v>0.40200000000000002</v>
      </c>
      <c r="E339" s="323">
        <f>Лист1!H96</f>
        <v>4460</v>
      </c>
      <c r="F339" s="314">
        <f t="shared" si="16"/>
        <v>1792.92</v>
      </c>
    </row>
    <row r="340" spans="1:6" ht="30" x14ac:dyDescent="0.25">
      <c r="A340" s="252" t="str">
        <f>'инновации+добровольчество'!A324</f>
        <v>Сцепление к-т ЗМЗ-409"LUK"(с выжимным подшипником АДС)3163 06 1601006 (3163 06 1601006)</v>
      </c>
      <c r="B340" s="181" t="s">
        <v>91</v>
      </c>
      <c r="C340" s="262"/>
      <c r="D340" s="181">
        <f>PRODUCT(Лист1!G97,$A$221)</f>
        <v>0.40200000000000002</v>
      </c>
      <c r="E340" s="323">
        <f>Лист1!H97</f>
        <v>8725</v>
      </c>
      <c r="F340" s="314">
        <f t="shared" si="16"/>
        <v>3507.4500000000003</v>
      </c>
    </row>
    <row r="341" spans="1:6" x14ac:dyDescent="0.25">
      <c r="A341" s="252" t="str">
        <f>'инновации+добровольчество'!A325</f>
        <v>Термостат Т-118 t-87 (УМЗ4216) Электон  Т118-1306100-04</v>
      </c>
      <c r="B341" s="181" t="s">
        <v>91</v>
      </c>
      <c r="C341" s="262"/>
      <c r="D341" s="181">
        <f>PRODUCT(Лист1!G98,$A$221)</f>
        <v>0.80400000000000005</v>
      </c>
      <c r="E341" s="323">
        <f>Лист1!H98</f>
        <v>315</v>
      </c>
      <c r="F341" s="314">
        <f t="shared" si="16"/>
        <v>253.26000000000002</v>
      </c>
    </row>
    <row r="342" spans="1:6" x14ac:dyDescent="0.25">
      <c r="A342" s="252" t="str">
        <f>'инновации+добровольчество'!A326</f>
        <v>Тормозная жидкость G-Energy EXPERT DOT4 (0.910кг)</v>
      </c>
      <c r="B342" s="181" t="s">
        <v>91</v>
      </c>
      <c r="C342" s="262"/>
      <c r="D342" s="181">
        <f>PRODUCT(Лист1!G99,$A$221)</f>
        <v>0.80400000000000005</v>
      </c>
      <c r="E342" s="323">
        <f>Лист1!H99</f>
        <v>234</v>
      </c>
      <c r="F342" s="314">
        <f t="shared" si="16"/>
        <v>188.13600000000002</v>
      </c>
    </row>
    <row r="343" spans="1:6" ht="30" x14ac:dyDescent="0.25">
      <c r="A343" s="252" t="str">
        <f>'инновации+добровольчество'!A327</f>
        <v>Уплотнитель свечного колодца 406 дв.(ЕВРО-2)(Силикон синий) 406.1007248-10 (406.1007248-10)</v>
      </c>
      <c r="B343" s="181" t="s">
        <v>91</v>
      </c>
      <c r="C343" s="262"/>
      <c r="D343" s="181">
        <f>PRODUCT(Лист1!G100,$A$221)</f>
        <v>0.40200000000000002</v>
      </c>
      <c r="E343" s="323">
        <f>Лист1!H100</f>
        <v>96</v>
      </c>
      <c r="F343" s="314">
        <f t="shared" si="16"/>
        <v>38.591999999999999</v>
      </c>
    </row>
    <row r="344" spans="1:6" x14ac:dyDescent="0.25">
      <c r="A344" s="252" t="str">
        <f>'инновации+добровольчество'!A328</f>
        <v>Утеплитель лобовой наружный с дверями УАЗ-452(ватин/венил/кожа)</v>
      </c>
      <c r="B344" s="181" t="s">
        <v>91</v>
      </c>
      <c r="C344" s="262"/>
      <c r="D344" s="181">
        <f>PRODUCT(Лист1!G101,$A$221)</f>
        <v>0.40200000000000002</v>
      </c>
      <c r="E344" s="323">
        <f>Лист1!H101</f>
        <v>1220</v>
      </c>
      <c r="F344" s="314">
        <f t="shared" si="16"/>
        <v>490.44000000000005</v>
      </c>
    </row>
    <row r="345" spans="1:6" x14ac:dyDescent="0.25">
      <c r="A345" s="252" t="str">
        <f>'инновации+добровольчество'!A329</f>
        <v>Фильтр масляный MANN-FILTER W 914/2(W 812)(W 813)(W 914/2 n)(W 914/5)"10"</v>
      </c>
      <c r="B345" s="181" t="s">
        <v>91</v>
      </c>
      <c r="C345" s="262"/>
      <c r="D345" s="181">
        <f>PRODUCT(Лист1!G102,$A$221)</f>
        <v>1.6080000000000001</v>
      </c>
      <c r="E345" s="323">
        <f>Лист1!H102</f>
        <v>330</v>
      </c>
      <c r="F345" s="314">
        <f t="shared" si="16"/>
        <v>530.64</v>
      </c>
    </row>
    <row r="346" spans="1:6" ht="30" x14ac:dyDescent="0.25">
      <c r="A346" s="252" t="str">
        <f>'инновации+добровольчество'!A330</f>
        <v>Фильтр топливный УАЗ ( инжектор штуцера с резьбой)УАЗ Оригиннал 3151-96-1117010 (3151-96-1117010)</v>
      </c>
      <c r="B346" s="181" t="s">
        <v>91</v>
      </c>
      <c r="C346" s="262"/>
      <c r="D346" s="181">
        <f>PRODUCT(Лист1!G103,$A$221)</f>
        <v>1.6080000000000001</v>
      </c>
      <c r="E346" s="323">
        <f>Лист1!H103</f>
        <v>350</v>
      </c>
      <c r="F346" s="314">
        <f t="shared" si="16"/>
        <v>562.80000000000007</v>
      </c>
    </row>
    <row r="347" spans="1:6" ht="30" x14ac:dyDescent="0.25">
      <c r="A347" s="252" t="str">
        <f>'инновации+добровольчество'!A331</f>
        <v>Цилиндр тормозной задний УАЗ 3160,3162 Патриот(d=28мм)KNU 3160 3502040 (3160 3502040)</v>
      </c>
      <c r="B347" s="181" t="s">
        <v>91</v>
      </c>
      <c r="C347" s="262"/>
      <c r="D347" s="181">
        <f>PRODUCT(Лист1!G104,$A$221)</f>
        <v>1.6080000000000001</v>
      </c>
      <c r="E347" s="323">
        <f>Лист1!H104</f>
        <v>545</v>
      </c>
      <c r="F347" s="314">
        <f t="shared" si="16"/>
        <v>876.36</v>
      </c>
    </row>
    <row r="348" spans="1:6" x14ac:dyDescent="0.25">
      <c r="A348" s="252" t="str">
        <f>'инновации+добровольчество'!A332</f>
        <v>Шакл (скоба омегообр. с резьбой г/п 3,25т)тип G209 ХЛ</v>
      </c>
      <c r="B348" s="181" t="s">
        <v>91</v>
      </c>
      <c r="C348" s="262"/>
      <c r="D348" s="181">
        <f>PRODUCT(Лист1!G105,$A$221)</f>
        <v>0.40200000000000002</v>
      </c>
      <c r="E348" s="323">
        <f>Лист1!H105</f>
        <v>285</v>
      </c>
      <c r="F348" s="314">
        <f t="shared" si="16"/>
        <v>114.57000000000001</v>
      </c>
    </row>
    <row r="349" spans="1:6" x14ac:dyDescent="0.25">
      <c r="A349" s="252" t="str">
        <f>'инновации+добровольчество'!A333</f>
        <v>Шкив помпы 406 дв текстолит 406.1308025-10 ( 406.1308025-10)</v>
      </c>
      <c r="B349" s="181" t="s">
        <v>91</v>
      </c>
      <c r="C349" s="262"/>
      <c r="D349" s="181">
        <f>PRODUCT(Лист1!G106,$A$221)</f>
        <v>1.206</v>
      </c>
      <c r="E349" s="323">
        <f>Лист1!H106</f>
        <v>106</v>
      </c>
      <c r="F349" s="314">
        <f t="shared" si="16"/>
        <v>127.836</v>
      </c>
    </row>
    <row r="350" spans="1:6" x14ac:dyDescent="0.25">
      <c r="A350" s="252" t="str">
        <f>'инновации+добровольчество'!A334</f>
        <v>Шланг тормозной задний УАЗ-452 инжектор.ЕВРО-4 3962-3506061 (3962-3506061)</v>
      </c>
      <c r="B350" s="181" t="s">
        <v>91</v>
      </c>
      <c r="C350" s="262"/>
      <c r="D350" s="181">
        <f>PRODUCT(Лист1!G107,$A$221)</f>
        <v>1.6080000000000001</v>
      </c>
      <c r="E350" s="323">
        <f>Лист1!H107</f>
        <v>185</v>
      </c>
      <c r="F350" s="314">
        <f t="shared" si="16"/>
        <v>297.48</v>
      </c>
    </row>
    <row r="351" spans="1:6" x14ac:dyDescent="0.25">
      <c r="A351" s="252" t="str">
        <f>'инновации+добровольчество'!A335</f>
        <v>Шланг тормозной передний УАЗ-452 инжектор Евро-4 3962-3506060 (3962-3506060)</v>
      </c>
      <c r="B351" s="181" t="s">
        <v>91</v>
      </c>
      <c r="C351" s="262"/>
      <c r="D351" s="181">
        <f>PRODUCT(Лист1!G108,$A$221)</f>
        <v>1.6080000000000001</v>
      </c>
      <c r="E351" s="323">
        <f>Лист1!H108</f>
        <v>216</v>
      </c>
      <c r="F351" s="314">
        <f t="shared" si="16"/>
        <v>347.32800000000003</v>
      </c>
    </row>
    <row r="352" spans="1:6" x14ac:dyDescent="0.25">
      <c r="A352" s="252" t="str">
        <f>'инновации+добровольчество'!A336</f>
        <v>Шпилька колеса М 14х1,5х45  ГАЗ 2410,УАЗ 20-3103008-Б (20-3103008-Б)</v>
      </c>
      <c r="B352" s="181" t="s">
        <v>91</v>
      </c>
      <c r="C352" s="262"/>
      <c r="D352" s="181">
        <f>PRODUCT(Лист1!G109,$A$221)</f>
        <v>8.0400000000000009</v>
      </c>
      <c r="E352" s="323">
        <f>Лист1!H109</f>
        <v>21</v>
      </c>
      <c r="F352" s="314">
        <f t="shared" si="16"/>
        <v>168.84000000000003</v>
      </c>
    </row>
    <row r="353" spans="1:6" ht="30" x14ac:dyDescent="0.25">
      <c r="A353" s="252" t="str">
        <f>'инновации+добровольчество'!A337</f>
        <v>Элемент воздушного фильтра УАЗ 452 инжектор 4213,409 (низкий)Цитрон 9.1.97 1109080 (9.1.97 1109080)</v>
      </c>
      <c r="B353" s="181" t="s">
        <v>91</v>
      </c>
      <c r="C353" s="262"/>
      <c r="D353" s="181">
        <f>PRODUCT(Лист1!G110,$A$221)</f>
        <v>0.80400000000000005</v>
      </c>
      <c r="E353" s="323">
        <f>Лист1!H110</f>
        <v>357</v>
      </c>
      <c r="F353" s="314">
        <f t="shared" si="16"/>
        <v>287.02800000000002</v>
      </c>
    </row>
    <row r="354" spans="1:6" x14ac:dyDescent="0.25">
      <c r="A354" s="252" t="str">
        <f>'инновации+добровольчество'!A338</f>
        <v>Кран шаровый</v>
      </c>
      <c r="B354" s="181" t="s">
        <v>91</v>
      </c>
      <c r="C354" s="262"/>
      <c r="D354" s="181">
        <f>PRODUCT(Лист1!G111,$A$221)</f>
        <v>0.40200000000000002</v>
      </c>
      <c r="E354" s="323">
        <f>Лист1!H111</f>
        <v>280</v>
      </c>
      <c r="F354" s="314">
        <f t="shared" si="16"/>
        <v>112.56</v>
      </c>
    </row>
    <row r="355" spans="1:6" x14ac:dyDescent="0.25">
      <c r="A355" s="252" t="str">
        <f>'инновации+добровольчество'!A339</f>
        <v>Вода дист</v>
      </c>
      <c r="B355" s="181" t="s">
        <v>91</v>
      </c>
      <c r="C355" s="262"/>
      <c r="D355" s="181">
        <f>PRODUCT(Лист1!G112,$A$221)</f>
        <v>0.40200000000000002</v>
      </c>
      <c r="E355" s="323">
        <f>Лист1!H112</f>
        <v>50</v>
      </c>
      <c r="F355" s="314">
        <f t="shared" si="16"/>
        <v>20.100000000000001</v>
      </c>
    </row>
    <row r="356" spans="1:6" x14ac:dyDescent="0.25">
      <c r="A356" s="252" t="str">
        <f>'инновации+добровольчество'!A340</f>
        <v>Кислота серная</v>
      </c>
      <c r="B356" s="181" t="s">
        <v>91</v>
      </c>
      <c r="C356" s="262"/>
      <c r="D356" s="181">
        <f>PRODUCT(Лист1!G113,$A$221)</f>
        <v>1.6080000000000001</v>
      </c>
      <c r="E356" s="323">
        <f>Лист1!H113</f>
        <v>70</v>
      </c>
      <c r="F356" s="314">
        <f t="shared" si="16"/>
        <v>112.56</v>
      </c>
    </row>
    <row r="357" spans="1:6" x14ac:dyDescent="0.25">
      <c r="A357" s="252" t="str">
        <f>'инновации+добровольчество'!A341</f>
        <v>Пакеты майка</v>
      </c>
      <c r="B357" s="181" t="s">
        <v>91</v>
      </c>
      <c r="C357" s="262"/>
      <c r="D357" s="181">
        <f>PRODUCT(Лист1!G114,$A$221)</f>
        <v>0.40200000000000002</v>
      </c>
      <c r="E357" s="323">
        <f>Лист1!H114</f>
        <v>5</v>
      </c>
      <c r="F357" s="314">
        <f t="shared" si="16"/>
        <v>2.0100000000000002</v>
      </c>
    </row>
    <row r="358" spans="1:6" x14ac:dyDescent="0.25">
      <c r="A358" s="252" t="str">
        <f>'инновации+добровольчество'!A342</f>
        <v>Уголок мебельный</v>
      </c>
      <c r="B358" s="181" t="s">
        <v>91</v>
      </c>
      <c r="C358" s="262"/>
      <c r="D358" s="181">
        <f>PRODUCT(Лист1!G115,$A$221)</f>
        <v>4.0200000000000005</v>
      </c>
      <c r="E358" s="323">
        <f>Лист1!H115</f>
        <v>7</v>
      </c>
      <c r="F358" s="314">
        <f t="shared" si="16"/>
        <v>28.140000000000004</v>
      </c>
    </row>
    <row r="359" spans="1:6" x14ac:dyDescent="0.25">
      <c r="A359" s="252" t="str">
        <f>'инновации+добровольчество'!A343</f>
        <v>Саморез по гипсокартону</v>
      </c>
      <c r="B359" s="181" t="s">
        <v>91</v>
      </c>
      <c r="C359" s="262"/>
      <c r="D359" s="181">
        <f>PRODUCT(Лист1!G116,$A$221)</f>
        <v>80.400000000000006</v>
      </c>
      <c r="E359" s="323">
        <f>Лист1!H116</f>
        <v>0.4</v>
      </c>
      <c r="F359" s="314">
        <f t="shared" si="16"/>
        <v>32.160000000000004</v>
      </c>
    </row>
    <row r="360" spans="1:6" x14ac:dyDescent="0.25">
      <c r="A360" s="252" t="str">
        <f>'инновации+добровольчество'!A344</f>
        <v>Доместос</v>
      </c>
      <c r="B360" s="181" t="s">
        <v>91</v>
      </c>
      <c r="C360" s="262"/>
      <c r="D360" s="181">
        <f>PRODUCT(Лист1!G117,$A$221)</f>
        <v>2.0100000000000002</v>
      </c>
      <c r="E360" s="323">
        <f>Лист1!H117</f>
        <v>175</v>
      </c>
      <c r="F360" s="314">
        <f t="shared" si="16"/>
        <v>351.75000000000006</v>
      </c>
    </row>
    <row r="361" spans="1:6" x14ac:dyDescent="0.25">
      <c r="A361" s="252" t="str">
        <f>'инновации+добровольчество'!A345</f>
        <v>Белизна</v>
      </c>
      <c r="B361" s="181" t="s">
        <v>91</v>
      </c>
      <c r="C361" s="262"/>
      <c r="D361" s="181">
        <f>PRODUCT(Лист1!G118,$A$221)</f>
        <v>2.0100000000000002</v>
      </c>
      <c r="E361" s="323">
        <f>Лист1!H118</f>
        <v>53</v>
      </c>
      <c r="F361" s="314">
        <f t="shared" si="16"/>
        <v>106.53000000000002</v>
      </c>
    </row>
    <row r="362" spans="1:6" x14ac:dyDescent="0.25">
      <c r="A362" s="252" t="str">
        <f>'инновации+добровольчество'!A346</f>
        <v xml:space="preserve">Пемолюкс </v>
      </c>
      <c r="B362" s="181" t="s">
        <v>91</v>
      </c>
      <c r="C362" s="262"/>
      <c r="D362" s="181">
        <f>PRODUCT(Лист1!G119,$A$221)</f>
        <v>6.03</v>
      </c>
      <c r="E362" s="323">
        <f>Лист1!H119</f>
        <v>60</v>
      </c>
      <c r="F362" s="314">
        <f t="shared" si="16"/>
        <v>361.8</v>
      </c>
    </row>
    <row r="363" spans="1:6" x14ac:dyDescent="0.25">
      <c r="A363" s="252" t="str">
        <f>'инновации+добровольчество'!A347</f>
        <v>Мыло</v>
      </c>
      <c r="B363" s="181" t="s">
        <v>91</v>
      </c>
      <c r="C363" s="262"/>
      <c r="D363" s="181">
        <f>PRODUCT(Лист1!G120,$A$221)</f>
        <v>0.40200000000000002</v>
      </c>
      <c r="E363" s="323">
        <f>Лист1!H120</f>
        <v>132</v>
      </c>
      <c r="F363" s="314">
        <f t="shared" si="16"/>
        <v>53.064</v>
      </c>
    </row>
    <row r="364" spans="1:6" x14ac:dyDescent="0.25">
      <c r="A364" s="252" t="str">
        <f>'инновации+добровольчество'!A348</f>
        <v>Стеклоочиститель с распылителем</v>
      </c>
      <c r="B364" s="181" t="s">
        <v>91</v>
      </c>
      <c r="C364" s="262"/>
      <c r="D364" s="181">
        <f>PRODUCT(Лист1!G121,$A$221)</f>
        <v>0.40200000000000002</v>
      </c>
      <c r="E364" s="323">
        <f>Лист1!H121</f>
        <v>255</v>
      </c>
      <c r="F364" s="314">
        <f t="shared" si="16"/>
        <v>102.51</v>
      </c>
    </row>
    <row r="365" spans="1:6" x14ac:dyDescent="0.25">
      <c r="A365" s="252" t="str">
        <f>'инновации+добровольчество'!A349</f>
        <v>Стеклоочиститель (сменный блок)</v>
      </c>
      <c r="B365" s="181" t="s">
        <v>91</v>
      </c>
      <c r="C365" s="262"/>
      <c r="D365" s="181">
        <f>PRODUCT(Лист1!G122,$A$221)</f>
        <v>0.40200000000000002</v>
      </c>
      <c r="E365" s="323">
        <f>Лист1!H122</f>
        <v>55</v>
      </c>
      <c r="F365" s="314">
        <f t="shared" si="16"/>
        <v>22.110000000000003</v>
      </c>
    </row>
    <row r="366" spans="1:6" x14ac:dyDescent="0.25">
      <c r="A366" s="252" t="str">
        <f>'инновации+добровольчество'!A350</f>
        <v>Губки</v>
      </c>
      <c r="B366" s="181" t="s">
        <v>91</v>
      </c>
      <c r="C366" s="182"/>
      <c r="D366" s="181">
        <f>PRODUCT(Лист1!G123,$A$221)</f>
        <v>0.80400000000000005</v>
      </c>
      <c r="E366" s="323">
        <f>Лист1!H123</f>
        <v>220</v>
      </c>
      <c r="F366" s="314">
        <f t="shared" si="16"/>
        <v>176.88000000000002</v>
      </c>
    </row>
    <row r="367" spans="1:6" x14ac:dyDescent="0.25">
      <c r="A367" s="252" t="str">
        <f>'инновации+добровольчество'!A351</f>
        <v>Моющее средство МИФ</v>
      </c>
      <c r="B367" s="181" t="s">
        <v>91</v>
      </c>
      <c r="C367" s="182"/>
      <c r="D367" s="181">
        <f>PRODUCT(Лист1!G124,$A$221)</f>
        <v>2.0100000000000002</v>
      </c>
      <c r="E367" s="323">
        <f>Лист1!H124</f>
        <v>115</v>
      </c>
      <c r="F367" s="314">
        <f t="shared" si="16"/>
        <v>231.15000000000003</v>
      </c>
    </row>
    <row r="368" spans="1:6" x14ac:dyDescent="0.25">
      <c r="A368" s="252" t="str">
        <f>'инновации+добровольчество'!A352</f>
        <v>Тряпка вискозная</v>
      </c>
      <c r="B368" s="181" t="s">
        <v>91</v>
      </c>
      <c r="C368" s="182"/>
      <c r="D368" s="181">
        <f>PRODUCT(Лист1!G125,$A$221)</f>
        <v>2.0100000000000002</v>
      </c>
      <c r="E368" s="323">
        <f>Лист1!H125</f>
        <v>70</v>
      </c>
      <c r="F368" s="314">
        <f t="shared" si="16"/>
        <v>140.70000000000002</v>
      </c>
    </row>
    <row r="369" spans="1:6" x14ac:dyDescent="0.25">
      <c r="A369" s="252" t="str">
        <f>'инновации+добровольчество'!A353</f>
        <v>Тряпки</v>
      </c>
      <c r="B369" s="181" t="s">
        <v>91</v>
      </c>
      <c r="C369" s="182"/>
      <c r="D369" s="181">
        <f>PRODUCT(Лист1!G126,$A$221)</f>
        <v>2.0100000000000002</v>
      </c>
      <c r="E369" s="323">
        <f>Лист1!H126</f>
        <v>170</v>
      </c>
      <c r="F369" s="314">
        <f t="shared" si="16"/>
        <v>341.70000000000005</v>
      </c>
    </row>
    <row r="370" spans="1:6" x14ac:dyDescent="0.25">
      <c r="A370" s="252" t="str">
        <f>'инновации+добровольчество'!A354</f>
        <v>Полотенца бумажные</v>
      </c>
      <c r="B370" s="181" t="s">
        <v>91</v>
      </c>
      <c r="C370" s="182"/>
      <c r="D370" s="181">
        <f>PRODUCT(Лист1!G127,$A$221)</f>
        <v>2.0100000000000002</v>
      </c>
      <c r="E370" s="323">
        <f>Лист1!H127</f>
        <v>95</v>
      </c>
      <c r="F370" s="314">
        <f t="shared" si="16"/>
        <v>190.95000000000002</v>
      </c>
    </row>
    <row r="371" spans="1:6" x14ac:dyDescent="0.25">
      <c r="A371" s="252" t="str">
        <f>'инновации+добровольчество'!A355</f>
        <v>Железная губка</v>
      </c>
      <c r="B371" s="181" t="s">
        <v>91</v>
      </c>
      <c r="C371" s="182"/>
      <c r="D371" s="181">
        <f>PRODUCT(Лист1!G128,$A$221)</f>
        <v>0.80400000000000005</v>
      </c>
      <c r="E371" s="323">
        <f>Лист1!H128</f>
        <v>30</v>
      </c>
      <c r="F371" s="314">
        <f t="shared" si="16"/>
        <v>24.12</v>
      </c>
    </row>
    <row r="372" spans="1:6" x14ac:dyDescent="0.25">
      <c r="A372" s="252" t="str">
        <f>'инновации+добровольчество'!A356</f>
        <v>Перчатки</v>
      </c>
      <c r="B372" s="181" t="s">
        <v>91</v>
      </c>
      <c r="C372" s="182"/>
      <c r="D372" s="181">
        <f>PRODUCT(Лист1!G129,$A$221)</f>
        <v>2.0100000000000002</v>
      </c>
      <c r="E372" s="323">
        <f>Лист1!H129</f>
        <v>60</v>
      </c>
      <c r="F372" s="314">
        <f t="shared" si="16"/>
        <v>120.60000000000001</v>
      </c>
    </row>
    <row r="373" spans="1:6" x14ac:dyDescent="0.25">
      <c r="A373" s="252" t="str">
        <f>'инновации+добровольчество'!A357</f>
        <v>Блок гигиенический для унитаза</v>
      </c>
      <c r="B373" s="181" t="s">
        <v>91</v>
      </c>
      <c r="C373" s="182"/>
      <c r="D373" s="181">
        <f>PRODUCT(Лист1!G130,$A$221)</f>
        <v>0.80400000000000005</v>
      </c>
      <c r="E373" s="323">
        <f>Лист1!H130</f>
        <v>90</v>
      </c>
      <c r="F373" s="314">
        <f t="shared" si="16"/>
        <v>72.36</v>
      </c>
    </row>
    <row r="374" spans="1:6" x14ac:dyDescent="0.25">
      <c r="A374" s="252" t="str">
        <f>'инновации+добровольчество'!A358</f>
        <v>Мыло</v>
      </c>
      <c r="B374" s="181" t="s">
        <v>91</v>
      </c>
      <c r="C374" s="182"/>
      <c r="D374" s="181">
        <f>PRODUCT(Лист1!G131,$A$221)</f>
        <v>2.0100000000000002</v>
      </c>
      <c r="E374" s="323">
        <f>Лист1!H131</f>
        <v>45</v>
      </c>
      <c r="F374" s="314">
        <f t="shared" si="16"/>
        <v>90.450000000000017</v>
      </c>
    </row>
    <row r="375" spans="1:6" x14ac:dyDescent="0.25">
      <c r="A375" s="252" t="str">
        <f>'инновации+добровольчество'!A359</f>
        <v>Мешки для мусора 60 л</v>
      </c>
      <c r="B375" s="181" t="s">
        <v>91</v>
      </c>
      <c r="C375" s="182"/>
      <c r="D375" s="181">
        <f>PRODUCT(Лист1!G132,$A$221)</f>
        <v>4.0200000000000005</v>
      </c>
      <c r="E375" s="323">
        <f>Лист1!H132</f>
        <v>90</v>
      </c>
      <c r="F375" s="314">
        <f t="shared" si="16"/>
        <v>361.80000000000007</v>
      </c>
    </row>
    <row r="376" spans="1:6" x14ac:dyDescent="0.25">
      <c r="A376" s="252" t="str">
        <f>'инновации+добровольчество'!A360</f>
        <v>Мешки для мусора 120 л</v>
      </c>
      <c r="B376" s="181" t="s">
        <v>91</v>
      </c>
      <c r="C376" s="182"/>
      <c r="D376" s="181">
        <f>PRODUCT(Лист1!G133,$A$221)</f>
        <v>2.0100000000000002</v>
      </c>
      <c r="E376" s="323">
        <f>Лист1!H133</f>
        <v>100</v>
      </c>
      <c r="F376" s="314">
        <f t="shared" si="16"/>
        <v>201.00000000000003</v>
      </c>
    </row>
    <row r="377" spans="1:6" x14ac:dyDescent="0.25">
      <c r="A377" s="252" t="str">
        <f>'инновации+добровольчество'!A361</f>
        <v>Мешки для мусора 35 л</v>
      </c>
      <c r="B377" s="181" t="s">
        <v>91</v>
      </c>
      <c r="C377" s="182"/>
      <c r="D377" s="181">
        <f>PRODUCT(Лист1!G134,$A$221)</f>
        <v>4.0200000000000005</v>
      </c>
      <c r="E377" s="323">
        <f>Лист1!H134</f>
        <v>50</v>
      </c>
      <c r="F377" s="314">
        <f t="shared" si="16"/>
        <v>201.00000000000003</v>
      </c>
    </row>
    <row r="378" spans="1:6" x14ac:dyDescent="0.25">
      <c r="A378" s="252" t="str">
        <f>'инновации+добровольчество'!A362</f>
        <v>Туалетная бумага</v>
      </c>
      <c r="B378" s="181" t="s">
        <v>91</v>
      </c>
      <c r="C378" s="182"/>
      <c r="D378" s="181">
        <f>PRODUCT(Лист1!G135,$A$221)</f>
        <v>19.295999999999999</v>
      </c>
      <c r="E378" s="323">
        <f>Лист1!H135</f>
        <v>18</v>
      </c>
      <c r="F378" s="314">
        <f t="shared" si="16"/>
        <v>347.32799999999997</v>
      </c>
    </row>
    <row r="379" spans="1:6" x14ac:dyDescent="0.25">
      <c r="A379" s="252" t="str">
        <f>'инновации+добровольчество'!A363</f>
        <v>Салфетка</v>
      </c>
      <c r="B379" s="181" t="s">
        <v>91</v>
      </c>
      <c r="C379" s="182"/>
      <c r="D379" s="181">
        <f>PRODUCT(Лист1!G136,$A$221)</f>
        <v>2.0100000000000002</v>
      </c>
      <c r="E379" s="323">
        <f>Лист1!H136</f>
        <v>30</v>
      </c>
      <c r="F379" s="314">
        <f t="shared" si="16"/>
        <v>60.300000000000004</v>
      </c>
    </row>
    <row r="380" spans="1:6" x14ac:dyDescent="0.25">
      <c r="A380" s="252" t="str">
        <f>'инновации+добровольчество'!A364</f>
        <v>Пакет</v>
      </c>
      <c r="B380" s="181" t="s">
        <v>91</v>
      </c>
      <c r="C380" s="182"/>
      <c r="D380" s="181">
        <f>PRODUCT(Лист1!G137,$A$221)</f>
        <v>1.206</v>
      </c>
      <c r="E380" s="323">
        <f>Лист1!H137</f>
        <v>5</v>
      </c>
      <c r="F380" s="314">
        <f t="shared" si="16"/>
        <v>6.0299999999999994</v>
      </c>
    </row>
    <row r="381" spans="1:6" x14ac:dyDescent="0.25">
      <c r="A381" s="252" t="str">
        <f>'инновации+добровольчество'!A365</f>
        <v>Жидкое мыло</v>
      </c>
      <c r="B381" s="181" t="s">
        <v>91</v>
      </c>
      <c r="C381" s="234"/>
      <c r="D381" s="181">
        <f>PRODUCT(Лист1!G138,$A$221)</f>
        <v>2.0100000000000002</v>
      </c>
      <c r="E381" s="323">
        <f>Лист1!H138</f>
        <v>260</v>
      </c>
      <c r="F381" s="314">
        <f t="shared" si="16"/>
        <v>522.6</v>
      </c>
    </row>
    <row r="382" spans="1:6" x14ac:dyDescent="0.25">
      <c r="A382" s="252" t="str">
        <f>'инновации+добровольчество'!A366</f>
        <v>Стеклоочиститель</v>
      </c>
      <c r="B382" s="181" t="s">
        <v>91</v>
      </c>
      <c r="C382" s="234"/>
      <c r="D382" s="181">
        <f>PRODUCT(Лист1!G139,$A$221)</f>
        <v>1.206</v>
      </c>
      <c r="E382" s="323">
        <f>Лист1!H139</f>
        <v>55</v>
      </c>
      <c r="F382" s="314">
        <f t="shared" si="16"/>
        <v>66.33</v>
      </c>
    </row>
    <row r="383" spans="1:6" x14ac:dyDescent="0.25">
      <c r="A383" s="252" t="str">
        <f>'инновации+добровольчество'!A367</f>
        <v>Блок для записи маленький</v>
      </c>
      <c r="B383" s="181" t="s">
        <v>91</v>
      </c>
      <c r="C383" s="234"/>
      <c r="D383" s="181">
        <f>PRODUCT(Лист1!G140,$A$221)</f>
        <v>0.80400000000000005</v>
      </c>
      <c r="E383" s="323">
        <f>Лист1!H140</f>
        <v>70</v>
      </c>
      <c r="F383" s="314">
        <f t="shared" si="16"/>
        <v>56.28</v>
      </c>
    </row>
    <row r="384" spans="1:6" x14ac:dyDescent="0.25">
      <c r="A384" s="252" t="str">
        <f>'инновации+добровольчество'!A368</f>
        <v>Блок для записи большой</v>
      </c>
      <c r="B384" s="181" t="s">
        <v>91</v>
      </c>
      <c r="C384" s="234"/>
      <c r="D384" s="181">
        <f>PRODUCT(Лист1!G141,$A$221)</f>
        <v>1.206</v>
      </c>
      <c r="E384" s="323">
        <f>Лист1!H141</f>
        <v>80</v>
      </c>
      <c r="F384" s="314">
        <f t="shared" si="16"/>
        <v>96.47999999999999</v>
      </c>
    </row>
    <row r="385" spans="1:6" x14ac:dyDescent="0.25">
      <c r="A385" s="252" t="str">
        <f>'инновации+добровольчество'!A369</f>
        <v>Скрепки</v>
      </c>
      <c r="B385" s="181" t="s">
        <v>91</v>
      </c>
      <c r="C385" s="234"/>
      <c r="D385" s="181">
        <f>PRODUCT(Лист1!G142,$A$221)</f>
        <v>4.0200000000000005</v>
      </c>
      <c r="E385" s="323">
        <f>Лист1!H142</f>
        <v>60</v>
      </c>
      <c r="F385" s="314">
        <f t="shared" si="16"/>
        <v>241.20000000000002</v>
      </c>
    </row>
    <row r="386" spans="1:6" x14ac:dyDescent="0.25">
      <c r="A386" s="252" t="str">
        <f>'инновации+добровольчество'!A370</f>
        <v>Кнопки</v>
      </c>
      <c r="B386" s="181" t="s">
        <v>91</v>
      </c>
      <c r="C386" s="234"/>
      <c r="D386" s="181">
        <f>PRODUCT(Лист1!G143,$A$221)</f>
        <v>4.0200000000000005</v>
      </c>
      <c r="E386" s="323">
        <f>Лист1!H143</f>
        <v>30</v>
      </c>
      <c r="F386" s="314">
        <f t="shared" si="16"/>
        <v>120.60000000000001</v>
      </c>
    </row>
    <row r="387" spans="1:6" x14ac:dyDescent="0.25">
      <c r="A387" s="252" t="str">
        <f>'инновации+добровольчество'!A371</f>
        <v>Кнопки</v>
      </c>
      <c r="B387" s="181" t="s">
        <v>91</v>
      </c>
      <c r="C387" s="234"/>
      <c r="D387" s="181">
        <f>PRODUCT(Лист1!G144,$A$221)</f>
        <v>2.0100000000000002</v>
      </c>
      <c r="E387" s="323">
        <f>Лист1!H144</f>
        <v>70</v>
      </c>
      <c r="F387" s="314">
        <f t="shared" si="16"/>
        <v>140.70000000000002</v>
      </c>
    </row>
    <row r="388" spans="1:6" x14ac:dyDescent="0.25">
      <c r="A388" s="252" t="str">
        <f>'инновации+добровольчество'!A372</f>
        <v>Степлер №10</v>
      </c>
      <c r="B388" s="181" t="s">
        <v>91</v>
      </c>
      <c r="C388" s="234"/>
      <c r="D388" s="181">
        <f>PRODUCT(Лист1!G145,$A$221)</f>
        <v>0.40200000000000002</v>
      </c>
      <c r="E388" s="323">
        <f>Лист1!H145</f>
        <v>180</v>
      </c>
      <c r="F388" s="314">
        <f t="shared" si="16"/>
        <v>72.36</v>
      </c>
    </row>
    <row r="389" spans="1:6" x14ac:dyDescent="0.25">
      <c r="A389" s="252" t="str">
        <f>'инновации+добровольчество'!A373</f>
        <v>Степлер №24</v>
      </c>
      <c r="B389" s="181" t="s">
        <v>91</v>
      </c>
      <c r="C389" s="234"/>
      <c r="D389" s="181">
        <f>PRODUCT(Лист1!G146,$A$221)</f>
        <v>0.40200000000000002</v>
      </c>
      <c r="E389" s="323">
        <f>Лист1!H146</f>
        <v>340</v>
      </c>
      <c r="F389" s="314">
        <f t="shared" si="16"/>
        <v>136.68</v>
      </c>
    </row>
    <row r="390" spans="1:6" x14ac:dyDescent="0.25">
      <c r="A390" s="252" t="str">
        <f>'инновации+добровольчество'!A374</f>
        <v>Степлер №21</v>
      </c>
      <c r="B390" s="181" t="s">
        <v>91</v>
      </c>
      <c r="C390" s="234"/>
      <c r="D390" s="181">
        <f>PRODUCT(Лист1!G147,$A$221)</f>
        <v>1.206</v>
      </c>
      <c r="E390" s="323">
        <f>Лист1!H147</f>
        <v>210</v>
      </c>
      <c r="F390" s="314">
        <f t="shared" si="16"/>
        <v>253.26</v>
      </c>
    </row>
    <row r="391" spans="1:6" x14ac:dyDescent="0.25">
      <c r="A391" s="252" t="str">
        <f>'инновации+добровольчество'!A375</f>
        <v>Скобы для степлера (большие)</v>
      </c>
      <c r="B391" s="181" t="s">
        <v>91</v>
      </c>
      <c r="C391" s="234"/>
      <c r="D391" s="181">
        <f>PRODUCT(Лист1!G148,$A$221)</f>
        <v>8.0400000000000009</v>
      </c>
      <c r="E391" s="323">
        <f>Лист1!H148</f>
        <v>20</v>
      </c>
      <c r="F391" s="314">
        <f t="shared" ref="F391:F461" si="17">D391*E391</f>
        <v>160.80000000000001</v>
      </c>
    </row>
    <row r="392" spans="1:6" x14ac:dyDescent="0.25">
      <c r="A392" s="252" t="str">
        <f>'инновации+добровольчество'!A376</f>
        <v>Скобы для степлера (маленькие)</v>
      </c>
      <c r="B392" s="181" t="s">
        <v>91</v>
      </c>
      <c r="C392" s="234"/>
      <c r="D392" s="181">
        <f>PRODUCT(Лист1!G149,$A$221)</f>
        <v>4.0200000000000005</v>
      </c>
      <c r="E392" s="323">
        <f>Лист1!H149</f>
        <v>50</v>
      </c>
      <c r="F392" s="314">
        <f t="shared" si="17"/>
        <v>201.00000000000003</v>
      </c>
    </row>
    <row r="393" spans="1:6" x14ac:dyDescent="0.25">
      <c r="A393" s="252" t="str">
        <f>'инновации+добровольчество'!A377</f>
        <v>Ножницы маленькие</v>
      </c>
      <c r="B393" s="181" t="s">
        <v>91</v>
      </c>
      <c r="C393" s="234"/>
      <c r="D393" s="181">
        <f>PRODUCT(Лист1!G150,$A$221)</f>
        <v>1.206</v>
      </c>
      <c r="E393" s="323">
        <f>Лист1!H150</f>
        <v>110</v>
      </c>
      <c r="F393" s="314">
        <f t="shared" si="17"/>
        <v>132.66</v>
      </c>
    </row>
    <row r="394" spans="1:6" x14ac:dyDescent="0.25">
      <c r="A394" s="252" t="str">
        <f>'инновации+добровольчество'!A378</f>
        <v xml:space="preserve">Ножницы большие </v>
      </c>
      <c r="B394" s="181" t="s">
        <v>91</v>
      </c>
      <c r="C394" s="234"/>
      <c r="D394" s="181">
        <f>PRODUCT(Лист1!G151,$A$221)</f>
        <v>0.40200000000000002</v>
      </c>
      <c r="E394" s="323">
        <f>Лист1!H151</f>
        <v>140</v>
      </c>
      <c r="F394" s="314">
        <f t="shared" si="17"/>
        <v>56.28</v>
      </c>
    </row>
    <row r="395" spans="1:6" x14ac:dyDescent="0.25">
      <c r="A395" s="252" t="str">
        <f>'инновации+добровольчество'!A379</f>
        <v>Ножницы</v>
      </c>
      <c r="B395" s="181" t="s">
        <v>91</v>
      </c>
      <c r="C395" s="234"/>
      <c r="D395" s="181">
        <f>PRODUCT(Лист1!G152,$A$221)</f>
        <v>4.0200000000000005</v>
      </c>
      <c r="E395" s="323">
        <f>Лист1!H152</f>
        <v>40</v>
      </c>
      <c r="F395" s="314">
        <f t="shared" si="17"/>
        <v>160.80000000000001</v>
      </c>
    </row>
    <row r="396" spans="1:6" x14ac:dyDescent="0.25">
      <c r="A396" s="252" t="str">
        <f>'инновации+добровольчество'!A380</f>
        <v>Линейка 40 см</v>
      </c>
      <c r="B396" s="181" t="s">
        <v>91</v>
      </c>
      <c r="C396" s="234"/>
      <c r="D396" s="181">
        <f>PRODUCT(Лист1!G153,$A$221)</f>
        <v>0.80400000000000005</v>
      </c>
      <c r="E396" s="323">
        <f>Лист1!H153</f>
        <v>70</v>
      </c>
      <c r="F396" s="314">
        <f t="shared" si="17"/>
        <v>56.28</v>
      </c>
    </row>
    <row r="397" spans="1:6" x14ac:dyDescent="0.25">
      <c r="A397" s="252" t="str">
        <f>'инновации+добровольчество'!A381</f>
        <v>Линейка 30 см</v>
      </c>
      <c r="B397" s="181" t="s">
        <v>91</v>
      </c>
      <c r="C397" s="234"/>
      <c r="D397" s="181">
        <f>PRODUCT(Лист1!G154,$A$221)</f>
        <v>2.0100000000000002</v>
      </c>
      <c r="E397" s="323">
        <f>Лист1!H154</f>
        <v>30</v>
      </c>
      <c r="F397" s="314">
        <f t="shared" si="17"/>
        <v>60.300000000000004</v>
      </c>
    </row>
    <row r="398" spans="1:6" x14ac:dyDescent="0.25">
      <c r="A398" s="252" t="str">
        <f>'инновации+добровольчество'!A382</f>
        <v>Линейка 20 см</v>
      </c>
      <c r="B398" s="181" t="s">
        <v>91</v>
      </c>
      <c r="C398" s="234"/>
      <c r="D398" s="181">
        <f>PRODUCT(Лист1!G155,$A$221)</f>
        <v>1.6080000000000001</v>
      </c>
      <c r="E398" s="323">
        <f>Лист1!H155</f>
        <v>20</v>
      </c>
      <c r="F398" s="314">
        <f t="shared" si="17"/>
        <v>32.160000000000004</v>
      </c>
    </row>
    <row r="399" spans="1:6" x14ac:dyDescent="0.25">
      <c r="A399" s="252" t="str">
        <f>'инновации+добровольчество'!A383</f>
        <v>Маркер черный толстый</v>
      </c>
      <c r="B399" s="181" t="s">
        <v>91</v>
      </c>
      <c r="C399" s="234"/>
      <c r="D399" s="181">
        <f>PRODUCT(Лист1!G156,$A$221)</f>
        <v>0.40200000000000002</v>
      </c>
      <c r="E399" s="323">
        <f>Лист1!H156</f>
        <v>80</v>
      </c>
      <c r="F399" s="314">
        <f t="shared" si="17"/>
        <v>32.160000000000004</v>
      </c>
    </row>
    <row r="400" spans="1:6" x14ac:dyDescent="0.25">
      <c r="A400" s="252" t="str">
        <f>'инновации+добровольчество'!A384</f>
        <v>Маркер черный тонкий</v>
      </c>
      <c r="B400" s="181" t="s">
        <v>91</v>
      </c>
      <c r="C400" s="182"/>
      <c r="D400" s="181">
        <f>PRODUCT(Лист1!G157,$A$221)</f>
        <v>3.2160000000000002</v>
      </c>
      <c r="E400" s="323">
        <f>Лист1!H157</f>
        <v>35</v>
      </c>
      <c r="F400" s="314">
        <f t="shared" si="17"/>
        <v>112.56</v>
      </c>
    </row>
    <row r="401" spans="1:6" x14ac:dyDescent="0.25">
      <c r="A401" s="252" t="str">
        <f>'инновации+добровольчество'!A385</f>
        <v>Маркер (набор)</v>
      </c>
      <c r="B401" s="181" t="s">
        <v>91</v>
      </c>
      <c r="C401" s="182"/>
      <c r="D401" s="181">
        <f>PRODUCT(Лист1!G158,$A$221)</f>
        <v>0.40200000000000002</v>
      </c>
      <c r="E401" s="323">
        <f>Лист1!H158</f>
        <v>290</v>
      </c>
      <c r="F401" s="314">
        <f t="shared" si="17"/>
        <v>116.58000000000001</v>
      </c>
    </row>
    <row r="402" spans="1:6" x14ac:dyDescent="0.25">
      <c r="A402" s="252" t="str">
        <f>'инновации+добровольчество'!A386</f>
        <v>Маркер красный</v>
      </c>
      <c r="B402" s="181" t="s">
        <v>91</v>
      </c>
      <c r="C402" s="182"/>
      <c r="D402" s="181">
        <f>PRODUCT(Лист1!G159,$A$221)</f>
        <v>1.6080000000000001</v>
      </c>
      <c r="E402" s="323">
        <f>Лист1!H159</f>
        <v>50</v>
      </c>
      <c r="F402" s="314">
        <f t="shared" si="17"/>
        <v>80.400000000000006</v>
      </c>
    </row>
    <row r="403" spans="1:6" x14ac:dyDescent="0.25">
      <c r="A403" s="252" t="str">
        <f>'инновации+добровольчество'!A387</f>
        <v>Маркер (синий)</v>
      </c>
      <c r="B403" s="181" t="s">
        <v>91</v>
      </c>
      <c r="C403" s="182"/>
      <c r="D403" s="181">
        <f>PRODUCT(Лист1!G160,$A$221)</f>
        <v>0.80400000000000005</v>
      </c>
      <c r="E403" s="323">
        <f>Лист1!H160</f>
        <v>120</v>
      </c>
      <c r="F403" s="314">
        <f t="shared" si="17"/>
        <v>96.48</v>
      </c>
    </row>
    <row r="404" spans="1:6" x14ac:dyDescent="0.25">
      <c r="A404" s="252" t="str">
        <f>'инновации+добровольчество'!A388</f>
        <v>Клей маленький</v>
      </c>
      <c r="B404" s="181" t="s">
        <v>91</v>
      </c>
      <c r="C404" s="182"/>
      <c r="D404" s="181">
        <f>PRODUCT(Лист1!G161,$A$221)</f>
        <v>3.6180000000000003</v>
      </c>
      <c r="E404" s="323">
        <f>Лист1!H161</f>
        <v>40</v>
      </c>
      <c r="F404" s="314">
        <f t="shared" si="17"/>
        <v>144.72000000000003</v>
      </c>
    </row>
    <row r="405" spans="1:6" x14ac:dyDescent="0.25">
      <c r="A405" s="252" t="str">
        <f>'инновации+добровольчество'!A389</f>
        <v>Клей большой</v>
      </c>
      <c r="B405" s="181" t="s">
        <v>91</v>
      </c>
      <c r="C405" s="182"/>
      <c r="D405" s="181">
        <f>PRODUCT(Лист1!G162,$A$221)</f>
        <v>2.0100000000000002</v>
      </c>
      <c r="E405" s="323">
        <f>Лист1!H162</f>
        <v>60</v>
      </c>
      <c r="F405" s="314">
        <f t="shared" si="17"/>
        <v>120.60000000000001</v>
      </c>
    </row>
    <row r="406" spans="1:6" x14ac:dyDescent="0.25">
      <c r="A406" s="252" t="str">
        <f>'инновации+добровольчество'!A390</f>
        <v>Резак для резки бумаги</v>
      </c>
      <c r="B406" s="181" t="s">
        <v>91</v>
      </c>
      <c r="C406" s="182"/>
      <c r="D406" s="181">
        <f>PRODUCT(Лист1!G163,$A$221)</f>
        <v>0.40200000000000002</v>
      </c>
      <c r="E406" s="323">
        <f>Лист1!H163</f>
        <v>100</v>
      </c>
      <c r="F406" s="314">
        <f t="shared" si="17"/>
        <v>40.200000000000003</v>
      </c>
    </row>
    <row r="407" spans="1:6" x14ac:dyDescent="0.25">
      <c r="A407" s="252" t="str">
        <f>'инновации+добровольчество'!A391</f>
        <v>Краска</v>
      </c>
      <c r="B407" s="181" t="s">
        <v>91</v>
      </c>
      <c r="C407" s="182"/>
      <c r="D407" s="181">
        <f>PRODUCT(Лист1!G164,$A$221)</f>
        <v>0.40200000000000002</v>
      </c>
      <c r="E407" s="323">
        <f>Лист1!H164</f>
        <v>140</v>
      </c>
      <c r="F407" s="314">
        <f t="shared" si="17"/>
        <v>56.28</v>
      </c>
    </row>
    <row r="408" spans="1:6" x14ac:dyDescent="0.25">
      <c r="A408" s="252" t="str">
        <f>'инновации+добровольчество'!A392</f>
        <v>Зажим маленький</v>
      </c>
      <c r="B408" s="181" t="s">
        <v>91</v>
      </c>
      <c r="C408" s="182"/>
      <c r="D408" s="181">
        <f>PRODUCT(Лист1!G165,$A$221)</f>
        <v>4.0200000000000005</v>
      </c>
      <c r="E408" s="323">
        <f>Лист1!H165</f>
        <v>15</v>
      </c>
      <c r="F408" s="314">
        <f t="shared" si="17"/>
        <v>60.300000000000004</v>
      </c>
    </row>
    <row r="409" spans="1:6" x14ac:dyDescent="0.25">
      <c r="A409" s="252" t="str">
        <f>'инновации+добровольчество'!A393</f>
        <v>Зажим большой</v>
      </c>
      <c r="B409" s="181" t="s">
        <v>91</v>
      </c>
      <c r="C409" s="300"/>
      <c r="D409" s="181">
        <f>PRODUCT(Лист1!G166,$A$221)</f>
        <v>4.0200000000000005</v>
      </c>
      <c r="E409" s="323">
        <f>Лист1!H166</f>
        <v>20</v>
      </c>
      <c r="F409" s="314">
        <f t="shared" si="17"/>
        <v>80.400000000000006</v>
      </c>
    </row>
    <row r="410" spans="1:6" x14ac:dyDescent="0.25">
      <c r="A410" s="252" t="str">
        <f>'инновации+добровольчество'!A394</f>
        <v>Корректор ручка</v>
      </c>
      <c r="B410" s="181" t="s">
        <v>91</v>
      </c>
      <c r="C410" s="300"/>
      <c r="D410" s="181">
        <f>PRODUCT(Лист1!G167,$A$221)</f>
        <v>0.80400000000000005</v>
      </c>
      <c r="E410" s="323">
        <f>Лист1!H167</f>
        <v>80</v>
      </c>
      <c r="F410" s="314">
        <f t="shared" si="17"/>
        <v>64.320000000000007</v>
      </c>
    </row>
    <row r="411" spans="1:6" x14ac:dyDescent="0.25">
      <c r="A411" s="252" t="str">
        <f>'инновации+добровольчество'!A395</f>
        <v>Корректор с кистью</v>
      </c>
      <c r="B411" s="181" t="s">
        <v>91</v>
      </c>
      <c r="C411" s="300"/>
      <c r="D411" s="181">
        <f>PRODUCT(Лист1!G168,$A$221)</f>
        <v>0.80400000000000005</v>
      </c>
      <c r="E411" s="323">
        <f>Лист1!H168</f>
        <v>50</v>
      </c>
      <c r="F411" s="314">
        <f t="shared" si="17"/>
        <v>40.200000000000003</v>
      </c>
    </row>
    <row r="412" spans="1:6" x14ac:dyDescent="0.25">
      <c r="A412" s="252" t="str">
        <f>'инновации+добровольчество'!A396</f>
        <v>Скотч</v>
      </c>
      <c r="B412" s="181" t="s">
        <v>91</v>
      </c>
      <c r="C412" s="300"/>
      <c r="D412" s="181">
        <f>PRODUCT(Лист1!G169,$A$221)</f>
        <v>2.0100000000000002</v>
      </c>
      <c r="E412" s="323">
        <f>Лист1!H169</f>
        <v>15</v>
      </c>
      <c r="F412" s="314">
        <f t="shared" si="17"/>
        <v>30.150000000000002</v>
      </c>
    </row>
    <row r="413" spans="1:6" x14ac:dyDescent="0.25">
      <c r="A413" s="252" t="str">
        <f>'инновации+добровольчество'!A397</f>
        <v>Нож канцелярский</v>
      </c>
      <c r="B413" s="181" t="s">
        <v>91</v>
      </c>
      <c r="C413" s="300"/>
      <c r="D413" s="181">
        <f>PRODUCT(Лист1!G170,$A$221)</f>
        <v>4.8239999999999998</v>
      </c>
      <c r="E413" s="323">
        <f>Лист1!H170</f>
        <v>50</v>
      </c>
      <c r="F413" s="314">
        <f t="shared" si="17"/>
        <v>241.2</v>
      </c>
    </row>
    <row r="414" spans="1:6" x14ac:dyDescent="0.25">
      <c r="A414" s="252" t="str">
        <f>'инновации+добровольчество'!A398</f>
        <v>Нитки для сшивания (толстые)</v>
      </c>
      <c r="B414" s="181" t="s">
        <v>91</v>
      </c>
      <c r="C414" s="300"/>
      <c r="D414" s="181">
        <f>PRODUCT(Лист1!G171,$A$221)</f>
        <v>0.40200000000000002</v>
      </c>
      <c r="E414" s="323">
        <f>Лист1!H171</f>
        <v>210</v>
      </c>
      <c r="F414" s="314">
        <f t="shared" si="17"/>
        <v>84.42</v>
      </c>
    </row>
    <row r="415" spans="1:6" x14ac:dyDescent="0.25">
      <c r="A415" s="252" t="str">
        <f>'инновации+добровольчество'!A399</f>
        <v>Шило</v>
      </c>
      <c r="B415" s="181" t="s">
        <v>91</v>
      </c>
      <c r="C415" s="300"/>
      <c r="D415" s="181">
        <f>PRODUCT(Лист1!G172,$A$221)</f>
        <v>0.40200000000000002</v>
      </c>
      <c r="E415" s="323">
        <f>Лист1!H172</f>
        <v>60</v>
      </c>
      <c r="F415" s="314">
        <f t="shared" si="17"/>
        <v>24.12</v>
      </c>
    </row>
    <row r="416" spans="1:6" x14ac:dyDescent="0.25">
      <c r="A416" s="252" t="str">
        <f>'инновации+добровольчество'!A400</f>
        <v>Дырокол на 10 листов металл.</v>
      </c>
      <c r="B416" s="181" t="s">
        <v>91</v>
      </c>
      <c r="C416" s="300"/>
      <c r="D416" s="181">
        <f>PRODUCT(Лист1!G173,$A$221)</f>
        <v>1.6080000000000001</v>
      </c>
      <c r="E416" s="323">
        <f>Лист1!H173</f>
        <v>190</v>
      </c>
      <c r="F416" s="314">
        <f t="shared" si="17"/>
        <v>305.52000000000004</v>
      </c>
    </row>
    <row r="417" spans="1:6" x14ac:dyDescent="0.25">
      <c r="A417" s="252" t="str">
        <f>'инновации+добровольчество'!A401</f>
        <v>Дырокол на 70 листов черный</v>
      </c>
      <c r="B417" s="181" t="s">
        <v>91</v>
      </c>
      <c r="C417" s="300"/>
      <c r="D417" s="181">
        <f>PRODUCT(Лист1!G174,$A$221)</f>
        <v>0.40200000000000002</v>
      </c>
      <c r="E417" s="323">
        <f>Лист1!H174</f>
        <v>320</v>
      </c>
      <c r="F417" s="314">
        <f t="shared" si="17"/>
        <v>128.64000000000001</v>
      </c>
    </row>
    <row r="418" spans="1:6" x14ac:dyDescent="0.25">
      <c r="A418" s="252" t="str">
        <f>'инновации+добровольчество'!A402</f>
        <v>Карандаш простой</v>
      </c>
      <c r="B418" s="181" t="s">
        <v>91</v>
      </c>
      <c r="C418" s="300"/>
      <c r="D418" s="181">
        <f>PRODUCT(Лист1!G175,$A$221)</f>
        <v>4.0200000000000005</v>
      </c>
      <c r="E418" s="323">
        <f>Лист1!H175</f>
        <v>20</v>
      </c>
      <c r="F418" s="314">
        <f t="shared" si="17"/>
        <v>80.400000000000006</v>
      </c>
    </row>
    <row r="419" spans="1:6" x14ac:dyDescent="0.25">
      <c r="A419" s="252" t="str">
        <f>'инновации+добровольчество'!A403</f>
        <v>Ручка</v>
      </c>
      <c r="B419" s="181" t="s">
        <v>91</v>
      </c>
      <c r="C419" s="300"/>
      <c r="D419" s="181">
        <f>PRODUCT(Лист1!G176,$A$221)</f>
        <v>0.40200000000000002</v>
      </c>
      <c r="E419" s="323">
        <f>Лист1!H176</f>
        <v>20</v>
      </c>
      <c r="F419" s="314">
        <f t="shared" si="17"/>
        <v>8.0400000000000009</v>
      </c>
    </row>
    <row r="420" spans="1:6" x14ac:dyDescent="0.25">
      <c r="A420" s="252" t="str">
        <f>'инновации+добровольчество'!A404</f>
        <v>Полотенце</v>
      </c>
      <c r="B420" s="181" t="s">
        <v>91</v>
      </c>
      <c r="C420" s="300"/>
      <c r="D420" s="181">
        <f>PRODUCT(Лист1!G177,$A$221)</f>
        <v>2.0100000000000002</v>
      </c>
      <c r="E420" s="323">
        <f>Лист1!H177</f>
        <v>110</v>
      </c>
      <c r="F420" s="314">
        <f t="shared" si="17"/>
        <v>221.10000000000002</v>
      </c>
    </row>
    <row r="421" spans="1:6" x14ac:dyDescent="0.25">
      <c r="A421" s="252" t="str">
        <f>'инновации+добровольчество'!A405</f>
        <v>Комплект веник-совок</v>
      </c>
      <c r="B421" s="181" t="s">
        <v>91</v>
      </c>
      <c r="C421" s="300"/>
      <c r="D421" s="181">
        <f>PRODUCT(Лист1!G178,$A$221)</f>
        <v>1.206</v>
      </c>
      <c r="E421" s="323">
        <f>Лист1!H178</f>
        <v>450</v>
      </c>
      <c r="F421" s="314">
        <f t="shared" si="17"/>
        <v>542.69999999999993</v>
      </c>
    </row>
    <row r="422" spans="1:6" x14ac:dyDescent="0.25">
      <c r="A422" s="252" t="str">
        <f>'инновации+добровольчество'!A406</f>
        <v>Насадки на швабру</v>
      </c>
      <c r="B422" s="181" t="s">
        <v>91</v>
      </c>
      <c r="C422" s="300"/>
      <c r="D422" s="181">
        <f>PRODUCT(Лист1!G179,$A$221)</f>
        <v>1.6080000000000001</v>
      </c>
      <c r="E422" s="323">
        <f>Лист1!H179</f>
        <v>100</v>
      </c>
      <c r="F422" s="314">
        <f t="shared" si="17"/>
        <v>160.80000000000001</v>
      </c>
    </row>
    <row r="423" spans="1:6" x14ac:dyDescent="0.25">
      <c r="A423" s="252" t="str">
        <f>'инновации+добровольчество'!A407</f>
        <v>Бумага Svetocopy</v>
      </c>
      <c r="B423" s="181" t="s">
        <v>91</v>
      </c>
      <c r="C423" s="300"/>
      <c r="D423" s="181">
        <f>PRODUCT(Лист1!G180,$A$221)</f>
        <v>12.06</v>
      </c>
      <c r="E423" s="323">
        <f>Лист1!H180</f>
        <v>310</v>
      </c>
      <c r="F423" s="314">
        <f t="shared" si="17"/>
        <v>3738.6000000000004</v>
      </c>
    </row>
    <row r="424" spans="1:6" x14ac:dyDescent="0.25">
      <c r="A424" s="252" t="str">
        <f>'инновации+добровольчество'!A408</f>
        <v>Папка накопитель</v>
      </c>
      <c r="B424" s="181" t="s">
        <v>91</v>
      </c>
      <c r="C424" s="300"/>
      <c r="D424" s="181">
        <f>PRODUCT(Лист1!G181,$A$221)</f>
        <v>0.40200000000000002</v>
      </c>
      <c r="E424" s="323">
        <f>Лист1!H181</f>
        <v>45</v>
      </c>
      <c r="F424" s="314">
        <f t="shared" si="17"/>
        <v>18.09</v>
      </c>
    </row>
    <row r="425" spans="1:6" x14ac:dyDescent="0.25">
      <c r="A425" s="252" t="str">
        <f>'инновации+добровольчество'!A409</f>
        <v>Набор пил колец</v>
      </c>
      <c r="B425" s="181" t="s">
        <v>91</v>
      </c>
      <c r="C425" s="300"/>
      <c r="D425" s="181">
        <f>PRODUCT(Лист1!G182,$A$221)</f>
        <v>0.40200000000000002</v>
      </c>
      <c r="E425" s="323">
        <f>Лист1!H182</f>
        <v>595</v>
      </c>
      <c r="F425" s="314">
        <f t="shared" si="17"/>
        <v>239.19000000000003</v>
      </c>
    </row>
    <row r="426" spans="1:6" x14ac:dyDescent="0.25">
      <c r="A426" s="252" t="str">
        <f>'инновации+добровольчество'!A410</f>
        <v>Клей</v>
      </c>
      <c r="B426" s="181" t="s">
        <v>91</v>
      </c>
      <c r="C426" s="304"/>
      <c r="D426" s="181">
        <f>PRODUCT(Лист1!G183,$A$221)</f>
        <v>0.40200000000000002</v>
      </c>
      <c r="E426" s="323">
        <f>Лист1!H183</f>
        <v>175</v>
      </c>
      <c r="F426" s="314">
        <f t="shared" si="17"/>
        <v>70.350000000000009</v>
      </c>
    </row>
    <row r="427" spans="1:6" x14ac:dyDescent="0.25">
      <c r="A427" s="252" t="str">
        <f>'инновации+добровольчество'!A411</f>
        <v>Крышка горловины</v>
      </c>
      <c r="B427" s="181" t="s">
        <v>91</v>
      </c>
      <c r="C427" s="304"/>
      <c r="D427" s="181">
        <f>PRODUCT(Лист1!G184,$A$221)</f>
        <v>0.80400000000000005</v>
      </c>
      <c r="E427" s="323">
        <f>Лист1!H184</f>
        <v>80</v>
      </c>
      <c r="F427" s="314">
        <f t="shared" si="17"/>
        <v>64.320000000000007</v>
      </c>
    </row>
    <row r="428" spans="1:6" x14ac:dyDescent="0.25">
      <c r="A428" s="252" t="str">
        <f>'инновации+добровольчество'!A412</f>
        <v>папка скоросшиватель</v>
      </c>
      <c r="B428" s="181" t="s">
        <v>91</v>
      </c>
      <c r="C428" s="304"/>
      <c r="D428" s="181">
        <f>PRODUCT(Лист1!G185,$A$221)</f>
        <v>4.0200000000000005</v>
      </c>
      <c r="E428" s="323">
        <f>Лист1!H185</f>
        <v>15</v>
      </c>
      <c r="F428" s="314">
        <f t="shared" si="17"/>
        <v>60.300000000000004</v>
      </c>
    </row>
    <row r="429" spans="1:6" x14ac:dyDescent="0.25">
      <c r="A429" s="252" t="str">
        <f>'инновации+добровольчество'!A413</f>
        <v>Прессвол РОР-АР 3,5*2,3м</v>
      </c>
      <c r="B429" s="181" t="s">
        <v>91</v>
      </c>
      <c r="C429" s="304"/>
      <c r="D429" s="181">
        <f>PRODUCT(Лист1!G186,$A$221)</f>
        <v>0.40200000000000002</v>
      </c>
      <c r="E429" s="323">
        <f>Лист1!H186</f>
        <v>25000</v>
      </c>
      <c r="F429" s="314">
        <f t="shared" si="17"/>
        <v>10050</v>
      </c>
    </row>
    <row r="430" spans="1:6" x14ac:dyDescent="0.25">
      <c r="A430" s="252" t="str">
        <f>'инновации+добровольчество'!A414</f>
        <v>плинтус кабель-канал</v>
      </c>
      <c r="B430" s="181" t="s">
        <v>91</v>
      </c>
      <c r="C430" s="304"/>
      <c r="D430" s="181">
        <f>PRODUCT(Лист1!G187,$A$221)</f>
        <v>1.206</v>
      </c>
      <c r="E430" s="323">
        <f>Лист1!H187</f>
        <v>70</v>
      </c>
      <c r="F430" s="314">
        <f t="shared" si="17"/>
        <v>84.42</v>
      </c>
    </row>
    <row r="431" spans="1:6" x14ac:dyDescent="0.25">
      <c r="A431" s="252" t="str">
        <f>'инновации+добровольчество'!A415</f>
        <v>валик малярный L</v>
      </c>
      <c r="B431" s="181" t="s">
        <v>91</v>
      </c>
      <c r="C431" s="304"/>
      <c r="D431" s="181">
        <f>PRODUCT(Лист1!G188,$A$221)</f>
        <v>0.80400000000000005</v>
      </c>
      <c r="E431" s="323">
        <f>Лист1!H188</f>
        <v>134</v>
      </c>
      <c r="F431" s="314">
        <f t="shared" si="17"/>
        <v>107.736</v>
      </c>
    </row>
    <row r="432" spans="1:6" x14ac:dyDescent="0.25">
      <c r="A432" s="252" t="str">
        <f>'инновации+добровольчество'!A416</f>
        <v>валик малярный профи</v>
      </c>
      <c r="B432" s="181" t="s">
        <v>91</v>
      </c>
      <c r="C432" s="304"/>
      <c r="D432" s="181">
        <f>PRODUCT(Лист1!G189,$A$221)</f>
        <v>0.80400000000000005</v>
      </c>
      <c r="E432" s="323">
        <f>Лист1!H189</f>
        <v>142</v>
      </c>
      <c r="F432" s="314">
        <f t="shared" si="17"/>
        <v>114.16800000000001</v>
      </c>
    </row>
    <row r="433" spans="1:6" x14ac:dyDescent="0.25">
      <c r="A433" s="252" t="str">
        <f>'инновации+добровольчество'!A417</f>
        <v>кабель-канал</v>
      </c>
      <c r="B433" s="181" t="s">
        <v>91</v>
      </c>
      <c r="C433" s="304"/>
      <c r="D433" s="181">
        <f>PRODUCT(Лист1!G190,$A$221)</f>
        <v>2.0100000000000002</v>
      </c>
      <c r="E433" s="323">
        <f>Лист1!H190</f>
        <v>62</v>
      </c>
      <c r="F433" s="314">
        <f t="shared" si="17"/>
        <v>124.62000000000002</v>
      </c>
    </row>
    <row r="434" spans="1:6" x14ac:dyDescent="0.25">
      <c r="A434" s="252" t="str">
        <f>'инновации+добровольчество'!A418</f>
        <v>ванночка малярная</v>
      </c>
      <c r="B434" s="181" t="s">
        <v>91</v>
      </c>
      <c r="C434" s="304"/>
      <c r="D434" s="181">
        <f>PRODUCT(Лист1!G191,$A$221)</f>
        <v>0.80400000000000005</v>
      </c>
      <c r="E434" s="323">
        <f>Лист1!H191</f>
        <v>50</v>
      </c>
      <c r="F434" s="314">
        <f t="shared" si="17"/>
        <v>40.200000000000003</v>
      </c>
    </row>
    <row r="435" spans="1:6" x14ac:dyDescent="0.25">
      <c r="A435" s="252" t="str">
        <f>'инновации+добровольчество'!A419</f>
        <v>шайба крановая</v>
      </c>
      <c r="B435" s="181" t="s">
        <v>91</v>
      </c>
      <c r="C435" s="304"/>
      <c r="D435" s="181">
        <f>PRODUCT(Лист1!G192,$A$221)</f>
        <v>8.0400000000000009</v>
      </c>
      <c r="E435" s="323">
        <f>Лист1!H192</f>
        <v>0.3</v>
      </c>
      <c r="F435" s="314">
        <f t="shared" si="17"/>
        <v>2.4120000000000004</v>
      </c>
    </row>
    <row r="436" spans="1:6" x14ac:dyDescent="0.25">
      <c r="A436" s="252" t="str">
        <f>'инновации+добровольчество'!A420</f>
        <v>эмаль аэрозоль</v>
      </c>
      <c r="B436" s="181" t="s">
        <v>91</v>
      </c>
      <c r="C436" s="304"/>
      <c r="D436" s="181">
        <f>PRODUCT(Лист1!G193,$A$221)</f>
        <v>0.80400000000000005</v>
      </c>
      <c r="E436" s="323">
        <f>Лист1!H193</f>
        <v>193</v>
      </c>
      <c r="F436" s="314">
        <f t="shared" si="17"/>
        <v>155.172</v>
      </c>
    </row>
    <row r="437" spans="1:6" x14ac:dyDescent="0.25">
      <c r="A437" s="252" t="str">
        <f>'инновации+добровольчество'!A421</f>
        <v>Папка-регистратор</v>
      </c>
      <c r="B437" s="181" t="s">
        <v>91</v>
      </c>
      <c r="C437" s="304"/>
      <c r="D437" s="181">
        <f>PRODUCT(Лист1!G194,$A$221)</f>
        <v>8.8440000000000012</v>
      </c>
      <c r="E437" s="323">
        <f>Лист1!H194</f>
        <v>190</v>
      </c>
      <c r="F437" s="314">
        <f t="shared" si="17"/>
        <v>1680.3600000000001</v>
      </c>
    </row>
    <row r="438" spans="1:6" x14ac:dyDescent="0.25">
      <c r="A438" s="252" t="str">
        <f>'инновации+добровольчество'!A422</f>
        <v>Блок питания</v>
      </c>
      <c r="B438" s="181" t="s">
        <v>91</v>
      </c>
      <c r="C438" s="304"/>
      <c r="D438" s="181">
        <f>PRODUCT(Лист1!G195,$A$221)</f>
        <v>0.40200000000000002</v>
      </c>
      <c r="E438" s="323">
        <f>Лист1!H195</f>
        <v>8330</v>
      </c>
      <c r="F438" s="314">
        <f t="shared" si="17"/>
        <v>3348.6600000000003</v>
      </c>
    </row>
    <row r="439" spans="1:6" x14ac:dyDescent="0.25">
      <c r="A439" s="252" t="str">
        <f>'инновации+добровольчество'!A423</f>
        <v>Кабель</v>
      </c>
      <c r="B439" s="181" t="s">
        <v>91</v>
      </c>
      <c r="C439" s="304"/>
      <c r="D439" s="181">
        <f>PRODUCT(Лист1!G196,$A$221)</f>
        <v>1.206</v>
      </c>
      <c r="E439" s="323">
        <f>Лист1!H196</f>
        <v>2570</v>
      </c>
      <c r="F439" s="314">
        <f t="shared" si="17"/>
        <v>3099.42</v>
      </c>
    </row>
    <row r="440" spans="1:6" x14ac:dyDescent="0.25">
      <c r="A440" s="252" t="str">
        <f>'инновации+добровольчество'!A424</f>
        <v>Карта памяти</v>
      </c>
      <c r="B440" s="181" t="s">
        <v>91</v>
      </c>
      <c r="C440" s="304"/>
      <c r="D440" s="181">
        <f>PRODUCT(Лист1!G197,$A$221)</f>
        <v>0.80400000000000005</v>
      </c>
      <c r="E440" s="323">
        <f>Лист1!H197</f>
        <v>3700</v>
      </c>
      <c r="F440" s="314">
        <f t="shared" si="17"/>
        <v>2974.8</v>
      </c>
    </row>
    <row r="441" spans="1:6" x14ac:dyDescent="0.25">
      <c r="A441" s="252" t="str">
        <f>'инновации+добровольчество'!A425</f>
        <v>Кабель</v>
      </c>
      <c r="B441" s="181" t="s">
        <v>91</v>
      </c>
      <c r="C441" s="332"/>
      <c r="D441" s="181">
        <f>PRODUCT(Лист1!G198,$A$221)</f>
        <v>0.40200000000000002</v>
      </c>
      <c r="E441" s="323">
        <f>Лист1!H198</f>
        <v>1990</v>
      </c>
      <c r="F441" s="314">
        <f t="shared" si="17"/>
        <v>799.98</v>
      </c>
    </row>
    <row r="442" spans="1:6" x14ac:dyDescent="0.25">
      <c r="A442" s="252" t="str">
        <f>'инновации+добровольчество'!A426</f>
        <v>Бумага Lomond 230</v>
      </c>
      <c r="B442" s="181" t="s">
        <v>91</v>
      </c>
      <c r="C442" s="332"/>
      <c r="D442" s="181">
        <f>PRODUCT(Лист1!G199,$A$221)</f>
        <v>0.80400000000000005</v>
      </c>
      <c r="E442" s="323">
        <f>Лист1!H199</f>
        <v>430</v>
      </c>
      <c r="F442" s="314">
        <f t="shared" si="17"/>
        <v>345.72</v>
      </c>
    </row>
    <row r="443" spans="1:6" x14ac:dyDescent="0.25">
      <c r="A443" s="252" t="str">
        <f>'инновации+добровольчество'!A427</f>
        <v>Бумага Lomond 140</v>
      </c>
      <c r="B443" s="181" t="s">
        <v>91</v>
      </c>
      <c r="C443" s="332"/>
      <c r="D443" s="181">
        <f>PRODUCT(Лист1!G200,$A$221)</f>
        <v>0.80400000000000005</v>
      </c>
      <c r="E443" s="323">
        <f>Лист1!H200</f>
        <v>870</v>
      </c>
      <c r="F443" s="314">
        <f t="shared" si="17"/>
        <v>699.48</v>
      </c>
    </row>
    <row r="444" spans="1:6" x14ac:dyDescent="0.25">
      <c r="A444" s="252" t="str">
        <f>'инновации+добровольчество'!A428</f>
        <v>Бумага Lomond 200</v>
      </c>
      <c r="B444" s="181" t="s">
        <v>91</v>
      </c>
      <c r="C444" s="332"/>
      <c r="D444" s="181">
        <f>PRODUCT(Лист1!G201,$A$221)</f>
        <v>0.80400000000000005</v>
      </c>
      <c r="E444" s="323">
        <f>Лист1!H201</f>
        <v>580</v>
      </c>
      <c r="F444" s="314">
        <f t="shared" si="17"/>
        <v>466.32000000000005</v>
      </c>
    </row>
    <row r="445" spans="1:6" x14ac:dyDescent="0.25">
      <c r="A445" s="252" t="str">
        <f>'инновации+добровольчество'!A429</f>
        <v>Бумага Cactus 180</v>
      </c>
      <c r="B445" s="181" t="s">
        <v>91</v>
      </c>
      <c r="C445" s="332"/>
      <c r="D445" s="181">
        <f>PRODUCT(Лист1!G202,$A$221)</f>
        <v>0.80400000000000005</v>
      </c>
      <c r="E445" s="323">
        <f>Лист1!H202</f>
        <v>760</v>
      </c>
      <c r="F445" s="314">
        <f t="shared" si="17"/>
        <v>611.04000000000008</v>
      </c>
    </row>
    <row r="446" spans="1:6" x14ac:dyDescent="0.25">
      <c r="A446" s="252" t="str">
        <f>'инновации+добровольчество'!A430</f>
        <v>Бумага Cactus 230</v>
      </c>
      <c r="B446" s="181" t="s">
        <v>91</v>
      </c>
      <c r="C446" s="332"/>
      <c r="D446" s="181">
        <f>PRODUCT(Лист1!G203,$A$221)</f>
        <v>0.80400000000000005</v>
      </c>
      <c r="E446" s="323">
        <f>Лист1!H203</f>
        <v>810</v>
      </c>
      <c r="F446" s="314">
        <f t="shared" si="17"/>
        <v>651.24</v>
      </c>
    </row>
    <row r="447" spans="1:6" x14ac:dyDescent="0.25">
      <c r="A447" s="252" t="str">
        <f>'инновации+добровольчество'!A431</f>
        <v>Бумага офисная А3</v>
      </c>
      <c r="B447" s="181" t="s">
        <v>91</v>
      </c>
      <c r="C447" s="332"/>
      <c r="D447" s="181">
        <f>PRODUCT(Лист1!G204,$A$221)</f>
        <v>2.0100000000000002</v>
      </c>
      <c r="E447" s="323">
        <f>Лист1!H204</f>
        <v>480</v>
      </c>
      <c r="F447" s="314">
        <f t="shared" si="17"/>
        <v>964.80000000000007</v>
      </c>
    </row>
    <row r="448" spans="1:6" x14ac:dyDescent="0.25">
      <c r="A448" s="252" t="str">
        <f>'инновации+добровольчество'!A432</f>
        <v>Бумага Lomond А3</v>
      </c>
      <c r="B448" s="181" t="s">
        <v>91</v>
      </c>
      <c r="C448" s="332"/>
      <c r="D448" s="181">
        <f>PRODUCT(Лист1!G205,$A$221)</f>
        <v>1.6080000000000001</v>
      </c>
      <c r="E448" s="323">
        <f>Лист1!H205</f>
        <v>1280</v>
      </c>
      <c r="F448" s="314">
        <f t="shared" si="17"/>
        <v>2058.2400000000002</v>
      </c>
    </row>
    <row r="449" spans="1:6" x14ac:dyDescent="0.25">
      <c r="A449" s="252" t="str">
        <f>'инновации+добровольчество'!A433</f>
        <v>Папка-регистратор</v>
      </c>
      <c r="B449" s="181" t="s">
        <v>91</v>
      </c>
      <c r="C449" s="332"/>
      <c r="D449" s="181">
        <f>PRODUCT(Лист1!G206,$A$221)</f>
        <v>4.0200000000000005</v>
      </c>
      <c r="E449" s="323">
        <f>Лист1!H206</f>
        <v>190</v>
      </c>
      <c r="F449" s="314">
        <f t="shared" si="17"/>
        <v>763.80000000000007</v>
      </c>
    </row>
    <row r="450" spans="1:6" x14ac:dyDescent="0.25">
      <c r="A450" s="252" t="str">
        <f>'инновации+добровольчество'!A434</f>
        <v>Блокнот для флипчарта</v>
      </c>
      <c r="B450" s="181" t="s">
        <v>91</v>
      </c>
      <c r="C450" s="332"/>
      <c r="D450" s="181">
        <f>PRODUCT(Лист1!G207,$A$221)</f>
        <v>2.0100000000000002</v>
      </c>
      <c r="E450" s="323">
        <f>Лист1!H207</f>
        <v>680</v>
      </c>
      <c r="F450" s="314">
        <f t="shared" si="17"/>
        <v>1366.8000000000002</v>
      </c>
    </row>
    <row r="451" spans="1:6" x14ac:dyDescent="0.25">
      <c r="A451" s="252" t="str">
        <f>'инновации+добровольчество'!A435</f>
        <v>Чернила для заправки комплект</v>
      </c>
      <c r="B451" s="181" t="s">
        <v>91</v>
      </c>
      <c r="C451" s="304"/>
      <c r="D451" s="181">
        <f>PRODUCT(Лист1!G208,$A$221)</f>
        <v>1.6080000000000001</v>
      </c>
      <c r="E451" s="323">
        <f>Лист1!H208</f>
        <v>900</v>
      </c>
      <c r="F451" s="314">
        <f t="shared" si="17"/>
        <v>1447.2</v>
      </c>
    </row>
    <row r="452" spans="1:6" x14ac:dyDescent="0.25">
      <c r="A452" s="252" t="str">
        <f>'инновации+добровольчество'!A436</f>
        <v>Картридж НР С2Р42АЕ</v>
      </c>
      <c r="B452" s="181" t="s">
        <v>91</v>
      </c>
      <c r="C452" s="304"/>
      <c r="D452" s="181">
        <f>PRODUCT(Лист1!G209,$A$221)</f>
        <v>0.80400000000000005</v>
      </c>
      <c r="E452" s="455">
        <f>Лист1!H209</f>
        <v>4800</v>
      </c>
      <c r="F452" s="314">
        <f t="shared" si="17"/>
        <v>3859.2000000000003</v>
      </c>
    </row>
    <row r="453" spans="1:6" x14ac:dyDescent="0.25">
      <c r="A453" s="252" t="str">
        <f>'инновации+добровольчество'!A437</f>
        <v xml:space="preserve">Лампады </v>
      </c>
      <c r="B453" s="181" t="s">
        <v>91</v>
      </c>
      <c r="C453" s="304"/>
      <c r="D453" s="181">
        <f>PRODUCT(Лист1!G210,$A$221)</f>
        <v>12.06</v>
      </c>
      <c r="E453" s="455">
        <f>Лист1!H210</f>
        <v>60</v>
      </c>
      <c r="F453" s="314">
        <f t="shared" si="17"/>
        <v>723.6</v>
      </c>
    </row>
    <row r="454" spans="1:6" x14ac:dyDescent="0.25">
      <c r="A454" s="252" t="str">
        <f>'инновации+добровольчество'!A438</f>
        <v>Георгиевская лента 100м</v>
      </c>
      <c r="B454" s="181" t="s">
        <v>91</v>
      </c>
      <c r="C454" s="304"/>
      <c r="D454" s="181">
        <f>PRODUCT(Лист1!G211,$A$221)</f>
        <v>0.40200000000000002</v>
      </c>
      <c r="E454" s="455">
        <f>Лист1!H211</f>
        <v>1200</v>
      </c>
      <c r="F454" s="314">
        <f t="shared" si="17"/>
        <v>482.40000000000003</v>
      </c>
    </row>
    <row r="455" spans="1:6" x14ac:dyDescent="0.25">
      <c r="A455" s="252" t="str">
        <f>'инновации+добровольчество'!A439</f>
        <v>Саморез со сверлом</v>
      </c>
      <c r="B455" s="181" t="s">
        <v>91</v>
      </c>
      <c r="C455" s="304"/>
      <c r="D455" s="181">
        <f>PRODUCT(Лист1!G212,$A$221)</f>
        <v>80.400000000000006</v>
      </c>
      <c r="E455" s="455">
        <f>Лист1!H212</f>
        <v>3</v>
      </c>
      <c r="F455" s="314">
        <f t="shared" si="17"/>
        <v>241.20000000000002</v>
      </c>
    </row>
    <row r="456" spans="1:6" x14ac:dyDescent="0.25">
      <c r="A456" s="252" t="str">
        <f>'инновации+добровольчество'!A440</f>
        <v>Саморез со сверлом</v>
      </c>
      <c r="B456" s="181" t="s">
        <v>91</v>
      </c>
      <c r="C456" s="304"/>
      <c r="D456" s="181">
        <f>PRODUCT(Лист1!G213,$A$221)</f>
        <v>100.5</v>
      </c>
      <c r="E456" s="455">
        <f>Лист1!H213</f>
        <v>3</v>
      </c>
      <c r="F456" s="314">
        <f t="shared" si="17"/>
        <v>301.5</v>
      </c>
    </row>
    <row r="457" spans="1:6" x14ac:dyDescent="0.25">
      <c r="A457" s="252" t="str">
        <f>'инновации+добровольчество'!A441</f>
        <v>Гвозди 1 кг</v>
      </c>
      <c r="B457" s="181" t="s">
        <v>91</v>
      </c>
      <c r="C457" s="470"/>
      <c r="D457" s="181">
        <f>PRODUCT(Лист1!G214,$A$221)</f>
        <v>0.40200000000000002</v>
      </c>
      <c r="E457" s="455">
        <f>Лист1!H214</f>
        <v>110</v>
      </c>
      <c r="F457" s="314">
        <f t="shared" si="17"/>
        <v>44.220000000000006</v>
      </c>
    </row>
    <row r="458" spans="1:6" x14ac:dyDescent="0.25">
      <c r="A458" s="252" t="str">
        <f>'инновации+добровольчество'!A442</f>
        <v>гвозди строит</v>
      </c>
      <c r="B458" s="181" t="s">
        <v>91</v>
      </c>
      <c r="C458" s="470"/>
      <c r="D458" s="181">
        <f>PRODUCT(Лист1!G215,$A$221)</f>
        <v>0.80400000000000005</v>
      </c>
      <c r="E458" s="455">
        <f>Лист1!H215</f>
        <v>100</v>
      </c>
      <c r="F458" s="314">
        <f t="shared" si="17"/>
        <v>80.400000000000006</v>
      </c>
    </row>
    <row r="459" spans="1:6" x14ac:dyDescent="0.25">
      <c r="A459" s="252" t="str">
        <f>'инновации+добровольчество'!A443</f>
        <v>гвозди строит</v>
      </c>
      <c r="B459" s="181" t="s">
        <v>91</v>
      </c>
      <c r="C459" s="470"/>
      <c r="D459" s="181">
        <f>PRODUCT(Лист1!G216,$A$221)</f>
        <v>0.80400000000000005</v>
      </c>
      <c r="E459" s="455">
        <f>Лист1!H216</f>
        <v>114</v>
      </c>
      <c r="F459" s="314">
        <f t="shared" si="17"/>
        <v>91.656000000000006</v>
      </c>
    </row>
    <row r="460" spans="1:6" x14ac:dyDescent="0.25">
      <c r="A460" s="252" t="str">
        <f>'инновации+добровольчество'!A444</f>
        <v>Помпа дополнительная</v>
      </c>
      <c r="B460" s="181" t="s">
        <v>91</v>
      </c>
      <c r="C460" s="470"/>
      <c r="D460" s="181">
        <f>PRODUCT(Лист1!G217,$A$221)</f>
        <v>0.40200000000000002</v>
      </c>
      <c r="E460" s="455">
        <f>Лист1!H217</f>
        <v>1050</v>
      </c>
      <c r="F460" s="314">
        <f t="shared" si="17"/>
        <v>422.1</v>
      </c>
    </row>
    <row r="461" spans="1:6" x14ac:dyDescent="0.25">
      <c r="A461" s="252" t="str">
        <f>'инновации+добровольчество'!A445</f>
        <v>уголок крепежный</v>
      </c>
      <c r="B461" s="181" t="s">
        <v>91</v>
      </c>
      <c r="C461" s="470"/>
      <c r="D461" s="181">
        <f>PRODUCT(Лист1!G218,$A$221)</f>
        <v>4.0200000000000005</v>
      </c>
      <c r="E461" s="455">
        <f>Лист1!H218</f>
        <v>17</v>
      </c>
      <c r="F461" s="314">
        <f t="shared" si="17"/>
        <v>68.34</v>
      </c>
    </row>
    <row r="462" spans="1:6" x14ac:dyDescent="0.25">
      <c r="A462" s="252" t="str">
        <f>'инновации+добровольчество'!A446</f>
        <v>саморез</v>
      </c>
      <c r="B462" s="181" t="s">
        <v>91</v>
      </c>
      <c r="C462" s="470"/>
      <c r="D462" s="181">
        <f>PRODUCT(Лист1!G219,$A$221)</f>
        <v>176.88000000000002</v>
      </c>
      <c r="E462" s="455">
        <f>Лист1!H219</f>
        <v>1</v>
      </c>
      <c r="F462" s="314">
        <f t="shared" ref="F462:F468" si="18">D462*E462</f>
        <v>176.88000000000002</v>
      </c>
    </row>
    <row r="463" spans="1:6" x14ac:dyDescent="0.25">
      <c r="A463" s="252" t="str">
        <f>'инновации+добровольчество'!A447</f>
        <v>гвозди строит</v>
      </c>
      <c r="B463" s="181" t="s">
        <v>91</v>
      </c>
      <c r="C463" s="470"/>
      <c r="D463" s="181">
        <f>PRODUCT(Лист1!G220,$A$221)</f>
        <v>0.80400000000000005</v>
      </c>
      <c r="E463" s="455">
        <f>Лист1!H220</f>
        <v>100</v>
      </c>
      <c r="F463" s="314">
        <f t="shared" si="18"/>
        <v>80.400000000000006</v>
      </c>
    </row>
    <row r="464" spans="1:6" x14ac:dyDescent="0.25">
      <c r="A464" s="252" t="str">
        <f>'инновации+добровольчество'!A448</f>
        <v>стяжка для проводов</v>
      </c>
      <c r="B464" s="181" t="s">
        <v>91</v>
      </c>
      <c r="C464" s="470"/>
      <c r="D464" s="181">
        <f>PRODUCT(Лист1!G221,$A$221)</f>
        <v>0.40200000000000002</v>
      </c>
      <c r="E464" s="455">
        <f>Лист1!H221</f>
        <v>194</v>
      </c>
      <c r="F464" s="314">
        <f t="shared" si="18"/>
        <v>77.988</v>
      </c>
    </row>
    <row r="465" spans="1:10" x14ac:dyDescent="0.25">
      <c r="A465" s="252" t="str">
        <f>'инновации+добровольчество'!A449</f>
        <v>стяжка для проводов</v>
      </c>
      <c r="B465" s="181" t="s">
        <v>91</v>
      </c>
      <c r="C465" s="470"/>
      <c r="D465" s="181">
        <f>PRODUCT(Лист1!G222,$A$221)</f>
        <v>0.40200000000000002</v>
      </c>
      <c r="E465" s="455">
        <f>Лист1!H222</f>
        <v>41</v>
      </c>
      <c r="F465" s="314">
        <f t="shared" si="18"/>
        <v>16.481999999999999</v>
      </c>
    </row>
    <row r="466" spans="1:10" x14ac:dyDescent="0.25">
      <c r="A466" s="252" t="str">
        <f>'инновации+добровольчество'!A450</f>
        <v>гвозди строит</v>
      </c>
      <c r="B466" s="181" t="s">
        <v>91</v>
      </c>
      <c r="C466" s="470"/>
      <c r="D466" s="181">
        <f>PRODUCT(Лист1!G223,$A$221)</f>
        <v>8.0400000000000009</v>
      </c>
      <c r="E466" s="455">
        <f>Лист1!H223</f>
        <v>194.48</v>
      </c>
      <c r="F466" s="314">
        <f t="shared" si="18"/>
        <v>1563.6192000000001</v>
      </c>
    </row>
    <row r="467" spans="1:10" x14ac:dyDescent="0.25">
      <c r="A467" s="252" t="str">
        <f>'инновации+добровольчество'!A451</f>
        <v>Стойки, втулки Хёндай</v>
      </c>
      <c r="B467" s="181" t="s">
        <v>91</v>
      </c>
      <c r="C467" s="470"/>
      <c r="D467" s="181">
        <f>PRODUCT(Лист1!G224,$A$221)</f>
        <v>0.40200000000000002</v>
      </c>
      <c r="E467" s="455">
        <f>Лист1!H224</f>
        <v>12000</v>
      </c>
      <c r="F467" s="314">
        <f t="shared" si="18"/>
        <v>4824</v>
      </c>
    </row>
    <row r="468" spans="1:10" x14ac:dyDescent="0.25">
      <c r="A468" s="252" t="str">
        <f>'инновации+добровольчество'!A452</f>
        <v xml:space="preserve">хозяйственно-бытовые товары </v>
      </c>
      <c r="B468" s="181" t="s">
        <v>91</v>
      </c>
      <c r="C468" s="470"/>
      <c r="D468" s="181">
        <f>PRODUCT(Лист1!G225,$A$221)</f>
        <v>0.40200000000000002</v>
      </c>
      <c r="E468" s="455">
        <f>Лист1!H225</f>
        <v>27000</v>
      </c>
      <c r="F468" s="314">
        <f t="shared" si="18"/>
        <v>10854</v>
      </c>
    </row>
    <row r="469" spans="1:10" x14ac:dyDescent="0.25">
      <c r="A469" s="252" t="str">
        <f>'инновации+добровольчество'!A453</f>
        <v>антифриз для УАЗ</v>
      </c>
      <c r="B469" s="181" t="s">
        <v>91</v>
      </c>
      <c r="C469" s="470"/>
      <c r="D469" s="181">
        <f>PRODUCT(Лист1!G226,$A$221)</f>
        <v>0.40200000000000002</v>
      </c>
      <c r="E469" s="455">
        <f>Лист1!H226</f>
        <v>1000</v>
      </c>
      <c r="F469" s="314">
        <f t="shared" ref="F469" si="19">D469*E469</f>
        <v>402</v>
      </c>
    </row>
    <row r="470" spans="1:10" ht="18.75" x14ac:dyDescent="0.25">
      <c r="A470" s="684" t="s">
        <v>31</v>
      </c>
      <c r="B470" s="722"/>
      <c r="C470" s="722"/>
      <c r="D470" s="722"/>
      <c r="E470" s="685"/>
      <c r="F470" s="431">
        <f>SUM(F225:F469)</f>
        <v>314424.70199999999</v>
      </c>
      <c r="J470" s="7">
        <v>156207.67000000001</v>
      </c>
    </row>
    <row r="471" spans="1:10" x14ac:dyDescent="0.25">
      <c r="E471" s="179"/>
    </row>
  </sheetData>
  <mergeCells count="149">
    <mergeCell ref="G93:G94"/>
    <mergeCell ref="B33:C33"/>
    <mergeCell ref="B34:C34"/>
    <mergeCell ref="J3:DS3"/>
    <mergeCell ref="A26:H26"/>
    <mergeCell ref="J22:J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I19:I20"/>
    <mergeCell ref="A219:E219"/>
    <mergeCell ref="A470:E470"/>
    <mergeCell ref="A125:E125"/>
    <mergeCell ref="B3:G3"/>
    <mergeCell ref="E52:E53"/>
    <mergeCell ref="F52:F53"/>
    <mergeCell ref="A54:B54"/>
    <mergeCell ref="A50:F50"/>
    <mergeCell ref="A52:B53"/>
    <mergeCell ref="D52:D53"/>
    <mergeCell ref="G52:G53"/>
    <mergeCell ref="A220:F220"/>
    <mergeCell ref="A221:F221"/>
    <mergeCell ref="A222:A223"/>
    <mergeCell ref="B222:B223"/>
    <mergeCell ref="D222:D223"/>
    <mergeCell ref="E222:E223"/>
    <mergeCell ref="F222:F223"/>
    <mergeCell ref="A180:F180"/>
    <mergeCell ref="A154:B154"/>
    <mergeCell ref="A35:H35"/>
    <mergeCell ref="A36:A38"/>
    <mergeCell ref="A156:B156"/>
    <mergeCell ref="A157:B157"/>
    <mergeCell ref="A138:F138"/>
    <mergeCell ref="B115:C115"/>
    <mergeCell ref="A93:B94"/>
    <mergeCell ref="A91:F91"/>
    <mergeCell ref="D93:D94"/>
    <mergeCell ref="A100:B100"/>
    <mergeCell ref="A152:B153"/>
    <mergeCell ref="B112:C114"/>
    <mergeCell ref="A112:A114"/>
    <mergeCell ref="E104:E105"/>
    <mergeCell ref="F104:F105"/>
    <mergeCell ref="B106:C106"/>
    <mergeCell ref="A47:B47"/>
    <mergeCell ref="A122:F122"/>
    <mergeCell ref="A127:A128"/>
    <mergeCell ref="B127:B128"/>
    <mergeCell ref="D127:D128"/>
    <mergeCell ref="E127:E128"/>
    <mergeCell ref="F127:F128"/>
    <mergeCell ref="A101:F101"/>
    <mergeCell ref="A49:F49"/>
    <mergeCell ref="A55:B55"/>
    <mergeCell ref="A56:B56"/>
    <mergeCell ref="A57:B57"/>
    <mergeCell ref="A58:B58"/>
    <mergeCell ref="A183:A184"/>
    <mergeCell ref="B183:B184"/>
    <mergeCell ref="D183:D184"/>
    <mergeCell ref="E183:E184"/>
    <mergeCell ref="F183:F184"/>
    <mergeCell ref="A172:F172"/>
    <mergeCell ref="A173:F173"/>
    <mergeCell ref="A175:A176"/>
    <mergeCell ref="B175:B176"/>
    <mergeCell ref="D175:D176"/>
    <mergeCell ref="E175:E176"/>
    <mergeCell ref="F175:F176"/>
    <mergeCell ref="A181:F181"/>
    <mergeCell ref="A1:I1"/>
    <mergeCell ref="A18:B18"/>
    <mergeCell ref="A15:F15"/>
    <mergeCell ref="A7:E7"/>
    <mergeCell ref="A17:F17"/>
    <mergeCell ref="G19:G21"/>
    <mergeCell ref="J19:J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52:G153"/>
    <mergeCell ref="G162:G163"/>
    <mergeCell ref="G175:G176"/>
    <mergeCell ref="A96:B96"/>
    <mergeCell ref="A97:B97"/>
    <mergeCell ref="A99:B99"/>
    <mergeCell ref="A4:E4"/>
    <mergeCell ref="A5:E5"/>
    <mergeCell ref="A6:E6"/>
    <mergeCell ref="G22:G23"/>
    <mergeCell ref="A95:B95"/>
    <mergeCell ref="A160:F160"/>
    <mergeCell ref="A162:A163"/>
    <mergeCell ref="B162:B163"/>
    <mergeCell ref="D162:D163"/>
    <mergeCell ref="E162:E163"/>
    <mergeCell ref="F162:F163"/>
    <mergeCell ref="A136:E136"/>
    <mergeCell ref="A149:F149"/>
    <mergeCell ref="D152:D153"/>
    <mergeCell ref="A98:B98"/>
    <mergeCell ref="H93:H94"/>
    <mergeCell ref="A155:B155"/>
    <mergeCell ref="A159:B159"/>
    <mergeCell ref="H113:H114"/>
    <mergeCell ref="G113:G114"/>
    <mergeCell ref="F113:F114"/>
    <mergeCell ref="E113:E114"/>
    <mergeCell ref="D113:D114"/>
    <mergeCell ref="D112:H112"/>
    <mergeCell ref="A111:H111"/>
    <mergeCell ref="B36:C38"/>
    <mergeCell ref="D36:E36"/>
    <mergeCell ref="D37:D38"/>
    <mergeCell ref="E37:E38"/>
    <mergeCell ref="F37:F38"/>
    <mergeCell ref="B39:C39"/>
    <mergeCell ref="B40:C40"/>
    <mergeCell ref="B41:C41"/>
    <mergeCell ref="A102:H102"/>
    <mergeCell ref="A103:A105"/>
    <mergeCell ref="B103:C105"/>
    <mergeCell ref="D103:F103"/>
    <mergeCell ref="D104:D105"/>
    <mergeCell ref="A43:B43"/>
    <mergeCell ref="A44:B44"/>
    <mergeCell ref="A45:B45"/>
    <mergeCell ref="A46:B46"/>
  </mergeCells>
  <printOptions horizontalCentered="1" verticalCentered="1"/>
  <pageMargins left="0.51181102362204722" right="0.31496062992125984" top="0.55118110236220474" bottom="0.55118110236220474" header="0" footer="0"/>
  <pageSetup paperSize="9" scale="38" fitToHeight="4" orientation="portrait" r:id="rId1"/>
  <rowBreaks count="2" manualBreakCount="2">
    <brk id="90" max="16383" man="1"/>
    <brk id="1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3"/>
  <sheetViews>
    <sheetView view="pageBreakPreview" workbookViewId="0">
      <selection activeCell="D379" sqref="D379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28.625" style="2" customWidth="1"/>
    <col min="5" max="5" width="36.5" style="2" customWidth="1"/>
    <col min="6" max="16384" width="8.875" style="2"/>
  </cols>
  <sheetData>
    <row r="1" spans="1:5" ht="189" customHeight="1" x14ac:dyDescent="0.25">
      <c r="D1" s="65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30.09.2019 № 77-ОС " О внесении изменений в приказ отдела физической культуры, спорта и молодежной политики администрации Северо-Енисейского района от 21.12.2018 № 111-ос   "Об утверждении базового норматива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53"/>
    </row>
    <row r="3" spans="1:5" x14ac:dyDescent="0.25">
      <c r="A3" s="654" t="s">
        <v>138</v>
      </c>
      <c r="B3" s="654"/>
      <c r="C3" s="654"/>
      <c r="D3" s="654"/>
      <c r="E3" s="654"/>
    </row>
    <row r="4" spans="1:5" ht="12.6" customHeight="1" x14ac:dyDescent="0.25">
      <c r="A4" s="655" t="s">
        <v>162</v>
      </c>
      <c r="B4" s="655"/>
      <c r="C4" s="655"/>
      <c r="D4" s="655"/>
      <c r="E4" s="655"/>
    </row>
    <row r="5" spans="1:5" ht="30" x14ac:dyDescent="0.25">
      <c r="A5" s="142" t="s">
        <v>139</v>
      </c>
      <c r="B5" s="68" t="s">
        <v>140</v>
      </c>
      <c r="C5" s="142" t="s">
        <v>141</v>
      </c>
      <c r="D5" s="142" t="s">
        <v>142</v>
      </c>
      <c r="E5" s="142" t="s">
        <v>143</v>
      </c>
    </row>
    <row r="6" spans="1:5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</row>
    <row r="7" spans="1:5" ht="37.15" customHeight="1" x14ac:dyDescent="0.25">
      <c r="A7" s="735" t="s">
        <v>137</v>
      </c>
      <c r="B7" s="736" t="s">
        <v>166</v>
      </c>
      <c r="C7" s="656" t="s">
        <v>144</v>
      </c>
      <c r="D7" s="657"/>
      <c r="E7" s="658"/>
    </row>
    <row r="8" spans="1:5" ht="14.45" customHeight="1" x14ac:dyDescent="0.25">
      <c r="A8" s="735"/>
      <c r="B8" s="736"/>
      <c r="C8" s="659" t="s">
        <v>145</v>
      </c>
      <c r="D8" s="660"/>
      <c r="E8" s="661"/>
    </row>
    <row r="9" spans="1:5" ht="12" customHeight="1" x14ac:dyDescent="0.25">
      <c r="A9" s="735"/>
      <c r="B9" s="736"/>
      <c r="C9" s="116" t="s">
        <v>152</v>
      </c>
      <c r="D9" s="144" t="s">
        <v>146</v>
      </c>
      <c r="E9" s="281">
        <f>'таланты+инициативы'!D25</f>
        <v>1.4727999999999999</v>
      </c>
    </row>
    <row r="10" spans="1:5" ht="12" customHeight="1" x14ac:dyDescent="0.25">
      <c r="A10" s="735"/>
      <c r="B10" s="736"/>
      <c r="C10" s="116" t="s">
        <v>102</v>
      </c>
      <c r="D10" s="145" t="s">
        <v>146</v>
      </c>
      <c r="E10" s="281">
        <f>'таланты+инициативы'!D24</f>
        <v>0.26300000000000001</v>
      </c>
    </row>
    <row r="11" spans="1:5" ht="12" customHeight="1" x14ac:dyDescent="0.25">
      <c r="A11" s="735"/>
      <c r="B11" s="736"/>
      <c r="C11" s="675" t="s">
        <v>156</v>
      </c>
      <c r="D11" s="676"/>
      <c r="E11" s="677"/>
    </row>
    <row r="12" spans="1:5" ht="40.15" customHeight="1" x14ac:dyDescent="0.25">
      <c r="A12" s="735"/>
      <c r="B12" s="736"/>
      <c r="C12" s="130" t="s">
        <v>76</v>
      </c>
      <c r="D12" s="108" t="s">
        <v>39</v>
      </c>
      <c r="E12" s="280">
        <f>'таланты+инициативы'!E48</f>
        <v>0.26300000000000001</v>
      </c>
    </row>
    <row r="13" spans="1:5" ht="24.6" customHeight="1" x14ac:dyDescent="0.25">
      <c r="A13" s="735"/>
      <c r="B13" s="736"/>
      <c r="C13" s="130" t="s">
        <v>86</v>
      </c>
      <c r="D13" s="108" t="s">
        <v>39</v>
      </c>
      <c r="E13" s="280">
        <f>'таланты+инициативы'!E49</f>
        <v>0.26300000000000001</v>
      </c>
    </row>
    <row r="14" spans="1:5" ht="23.45" customHeight="1" x14ac:dyDescent="0.25">
      <c r="A14" s="735"/>
      <c r="B14" s="736"/>
      <c r="C14" s="130" t="s">
        <v>40</v>
      </c>
      <c r="D14" s="108" t="s">
        <v>39</v>
      </c>
      <c r="E14" s="280">
        <f>'таланты+инициативы'!E50</f>
        <v>0.26300000000000001</v>
      </c>
    </row>
    <row r="15" spans="1:5" ht="22.9" customHeight="1" x14ac:dyDescent="0.25">
      <c r="A15" s="735"/>
      <c r="B15" s="736"/>
      <c r="C15" s="678" t="s">
        <v>157</v>
      </c>
      <c r="D15" s="679"/>
      <c r="E15" s="680"/>
    </row>
    <row r="16" spans="1:5" ht="30" customHeight="1" x14ac:dyDescent="0.25">
      <c r="A16" s="735"/>
      <c r="B16" s="736"/>
      <c r="C16" s="139" t="str">
        <f>'таланты+инициативы'!A59</f>
        <v xml:space="preserve"> проезд подростков</v>
      </c>
      <c r="D16" s="99" t="str">
        <f>'таланты+инициативы'!D59</f>
        <v>ед</v>
      </c>
      <c r="E16" s="103">
        <f>'таланты+инициативы'!E59</f>
        <v>3</v>
      </c>
    </row>
    <row r="17" spans="1:5" ht="12" customHeight="1" x14ac:dyDescent="0.25">
      <c r="A17" s="735"/>
      <c r="B17" s="736"/>
      <c r="C17" s="139" t="str">
        <f>'таланты+инициативы'!A60</f>
        <v>Проживание 3 суток</v>
      </c>
      <c r="D17" s="99" t="str">
        <f>'таланты+инициативы'!D60</f>
        <v>сут</v>
      </c>
      <c r="E17" s="103">
        <f>'таланты+инициативы'!E60</f>
        <v>3</v>
      </c>
    </row>
    <row r="18" spans="1:5" ht="12" customHeight="1" x14ac:dyDescent="0.25">
      <c r="A18" s="735"/>
      <c r="B18" s="736"/>
      <c r="C18" s="139" t="str">
        <f>'таланты+инициативы'!A61</f>
        <v>Суточные (3 подростков)</v>
      </c>
      <c r="D18" s="99" t="str">
        <f>'таланты+инициативы'!D61</f>
        <v>сут</v>
      </c>
      <c r="E18" s="103">
        <f>'таланты+инициативы'!E61</f>
        <v>3</v>
      </c>
    </row>
    <row r="19" spans="1:5" ht="12" customHeight="1" x14ac:dyDescent="0.25">
      <c r="A19" s="735"/>
      <c r="B19" s="736"/>
      <c r="C19" s="139" t="str">
        <f>'таланты+инициативы'!A63</f>
        <v xml:space="preserve"> проезд подростков</v>
      </c>
      <c r="D19" s="99" t="str">
        <f>'таланты+инициативы'!D63</f>
        <v>ед</v>
      </c>
      <c r="E19" s="103">
        <f>'таланты+инициативы'!E63</f>
        <v>2</v>
      </c>
    </row>
    <row r="20" spans="1:5" ht="12" customHeight="1" x14ac:dyDescent="0.25">
      <c r="A20" s="735"/>
      <c r="B20" s="736"/>
      <c r="C20" s="139" t="str">
        <f>'таланты+инициативы'!A64</f>
        <v>Проживание 3 суток</v>
      </c>
      <c r="D20" s="99" t="str">
        <f>'таланты+инициативы'!D64</f>
        <v>сут</v>
      </c>
      <c r="E20" s="103">
        <f>'таланты+инициативы'!E64</f>
        <v>0</v>
      </c>
    </row>
    <row r="21" spans="1:5" ht="12" customHeight="1" x14ac:dyDescent="0.25">
      <c r="A21" s="735"/>
      <c r="B21" s="736"/>
      <c r="C21" s="139" t="str">
        <f>'таланты+инициативы'!A65</f>
        <v>Суточные (2 подростков)</v>
      </c>
      <c r="D21" s="99" t="str">
        <f>'таланты+инициативы'!D65</f>
        <v>сут</v>
      </c>
      <c r="E21" s="103">
        <f>'таланты+инициативы'!E65</f>
        <v>3</v>
      </c>
    </row>
    <row r="22" spans="1:5" ht="12" customHeight="1" x14ac:dyDescent="0.25">
      <c r="A22" s="735"/>
      <c r="B22" s="736"/>
      <c r="C22" s="139" t="str">
        <f>'таланты+инициативы'!A67</f>
        <v xml:space="preserve"> проезд подростков</v>
      </c>
      <c r="D22" s="99" t="str">
        <f>'таланты+инициативы'!D67</f>
        <v>ед</v>
      </c>
      <c r="E22" s="103">
        <f>'таланты+инициативы'!E67</f>
        <v>3</v>
      </c>
    </row>
    <row r="23" spans="1:5" ht="12" customHeight="1" x14ac:dyDescent="0.25">
      <c r="A23" s="735"/>
      <c r="B23" s="736"/>
      <c r="C23" s="139" t="str">
        <f>'таланты+инициативы'!A68</f>
        <v>Проживание 6 суток</v>
      </c>
      <c r="D23" s="99" t="str">
        <f>'таланты+инициативы'!D68</f>
        <v>сут</v>
      </c>
      <c r="E23" s="103">
        <f>'таланты+инициативы'!E68</f>
        <v>0</v>
      </c>
    </row>
    <row r="24" spans="1:5" ht="12" customHeight="1" x14ac:dyDescent="0.25">
      <c r="A24" s="735"/>
      <c r="B24" s="736"/>
      <c r="C24" s="139" t="str">
        <f>'таланты+инициативы'!A69</f>
        <v>Суточные (3 подростков)</v>
      </c>
      <c r="D24" s="99" t="str">
        <f>'таланты+инициативы'!D69</f>
        <v>сут</v>
      </c>
      <c r="E24" s="103">
        <f>'таланты+инициативы'!E69</f>
        <v>3</v>
      </c>
    </row>
    <row r="25" spans="1:5" ht="12" customHeight="1" x14ac:dyDescent="0.25">
      <c r="A25" s="735"/>
      <c r="B25" s="736"/>
      <c r="C25" s="139" t="str">
        <f>'таланты+инициативы'!A70</f>
        <v>Приобретение экипировки для участников Вахты Памяти</v>
      </c>
      <c r="D25" s="99" t="str">
        <f>'таланты+инициативы'!D70</f>
        <v>шт</v>
      </c>
      <c r="E25" s="103">
        <f>'таланты+инициативы'!E70</f>
        <v>4</v>
      </c>
    </row>
    <row r="26" spans="1:5" ht="12" customHeight="1" x14ac:dyDescent="0.25">
      <c r="A26" s="735"/>
      <c r="B26" s="736"/>
      <c r="C26" s="139" t="str">
        <f>'таланты+инициативы'!A72</f>
        <v xml:space="preserve"> проезд подростков</v>
      </c>
      <c r="D26" s="99" t="str">
        <f>'таланты+инициативы'!D72</f>
        <v>ед</v>
      </c>
      <c r="E26" s="103">
        <f>'таланты+инициативы'!E72</f>
        <v>3</v>
      </c>
    </row>
    <row r="27" spans="1:5" ht="12" customHeight="1" x14ac:dyDescent="0.25">
      <c r="A27" s="735"/>
      <c r="B27" s="736"/>
      <c r="C27" s="139" t="str">
        <f>'таланты+инициативы'!A73</f>
        <v>Проживание 3 суток</v>
      </c>
      <c r="D27" s="99" t="str">
        <f>'таланты+инициативы'!D73</f>
        <v>сут</v>
      </c>
      <c r="E27" s="103">
        <f>'таланты+инициативы'!E73</f>
        <v>3</v>
      </c>
    </row>
    <row r="28" spans="1:5" ht="12" customHeight="1" x14ac:dyDescent="0.25">
      <c r="A28" s="735"/>
      <c r="B28" s="736"/>
      <c r="C28" s="139" t="str">
        <f>'таланты+инициативы'!A74</f>
        <v>Суточные (3 подростков)</v>
      </c>
      <c r="D28" s="99" t="str">
        <f>'таланты+инициативы'!D74</f>
        <v>сут</v>
      </c>
      <c r="E28" s="103">
        <f>'таланты+инициативы'!E74</f>
        <v>3</v>
      </c>
    </row>
    <row r="29" spans="1:5" ht="12" customHeight="1" x14ac:dyDescent="0.25">
      <c r="A29" s="735"/>
      <c r="B29" s="736"/>
      <c r="C29" s="139" t="str">
        <f>'таланты+инициативы'!A76</f>
        <v xml:space="preserve"> проезд подростков</v>
      </c>
      <c r="D29" s="99" t="str">
        <f>'таланты+инициативы'!D76</f>
        <v>ед</v>
      </c>
      <c r="E29" s="103">
        <f>'таланты+инициативы'!E76</f>
        <v>10</v>
      </c>
    </row>
    <row r="30" spans="1:5" ht="12" customHeight="1" x14ac:dyDescent="0.25">
      <c r="A30" s="735"/>
      <c r="B30" s="736"/>
      <c r="C30" s="139" t="str">
        <f>'таланты+инициативы'!A77</f>
        <v>Проживание 4 суток</v>
      </c>
      <c r="D30" s="99" t="str">
        <f>'таланты+инициативы'!D77</f>
        <v>сут</v>
      </c>
      <c r="E30" s="103">
        <f>'таланты+инициативы'!E77</f>
        <v>10</v>
      </c>
    </row>
    <row r="31" spans="1:5" ht="12" customHeight="1" x14ac:dyDescent="0.25">
      <c r="A31" s="735"/>
      <c r="B31" s="736"/>
      <c r="C31" s="139" t="str">
        <f>'таланты+инициативы'!A78</f>
        <v>Суточные (4 суток)</v>
      </c>
      <c r="D31" s="99" t="str">
        <f>'таланты+инициативы'!D78</f>
        <v>сут</v>
      </c>
      <c r="E31" s="103">
        <f>'таланты+инициативы'!E78</f>
        <v>10</v>
      </c>
    </row>
    <row r="32" spans="1:5" ht="12" customHeight="1" x14ac:dyDescent="0.25">
      <c r="A32" s="735"/>
      <c r="B32" s="736"/>
      <c r="C32" s="139" t="str">
        <f>'таланты+инициативы'!A80</f>
        <v xml:space="preserve"> проезд подростков</v>
      </c>
      <c r="D32" s="99" t="str">
        <f>'таланты+инициативы'!D80</f>
        <v>ед</v>
      </c>
      <c r="E32" s="103">
        <f>'таланты+инициативы'!E80</f>
        <v>3</v>
      </c>
    </row>
    <row r="33" spans="1:5" ht="12" customHeight="1" x14ac:dyDescent="0.25">
      <c r="A33" s="735"/>
      <c r="B33" s="736"/>
      <c r="C33" s="139" t="str">
        <f>'таланты+инициативы'!A81</f>
        <v>Проживание 4 суток</v>
      </c>
      <c r="D33" s="99" t="str">
        <f>'таланты+инициативы'!D81</f>
        <v>сут</v>
      </c>
      <c r="E33" s="103">
        <f>'таланты+инициативы'!E81</f>
        <v>3</v>
      </c>
    </row>
    <row r="34" spans="1:5" ht="12" customHeight="1" x14ac:dyDescent="0.25">
      <c r="A34" s="735"/>
      <c r="B34" s="736"/>
      <c r="C34" s="139" t="str">
        <f>'таланты+инициативы'!A82</f>
        <v>Суточные (4 суток)</v>
      </c>
      <c r="D34" s="99" t="str">
        <f>'таланты+инициативы'!D82</f>
        <v>сут</v>
      </c>
      <c r="E34" s="103">
        <f>'таланты+инициативы'!E82</f>
        <v>3</v>
      </c>
    </row>
    <row r="35" spans="1:5" ht="12" customHeight="1" x14ac:dyDescent="0.25">
      <c r="A35" s="735"/>
      <c r="B35" s="736"/>
      <c r="C35" s="139" t="str">
        <f>'таланты+инициативы'!A84</f>
        <v>Суточные штатный сопровождающий</v>
      </c>
      <c r="D35" s="99" t="str">
        <f>'таланты+инициативы'!D84</f>
        <v>сут</v>
      </c>
      <c r="E35" s="103">
        <f>'таланты+инициативы'!E84</f>
        <v>4</v>
      </c>
    </row>
    <row r="36" spans="1:5" ht="12" customHeight="1" x14ac:dyDescent="0.25">
      <c r="A36" s="735"/>
      <c r="B36" s="736"/>
      <c r="C36" s="139" t="str">
        <f>'таланты+инициативы'!A85</f>
        <v>Проезд, квартирные штатный  сопровождающий</v>
      </c>
      <c r="D36" s="99" t="str">
        <f>'таланты+инициативы'!D85</f>
        <v>ед</v>
      </c>
      <c r="E36" s="103">
        <f>'таланты+инициативы'!E85</f>
        <v>2</v>
      </c>
    </row>
    <row r="37" spans="1:5" ht="12" customHeight="1" x14ac:dyDescent="0.25">
      <c r="A37" s="735"/>
      <c r="B37" s="736"/>
      <c r="C37" s="139" t="str">
        <f>'таланты+инициативы'!A86</f>
        <v>Квартирные штатный  сопровождающий</v>
      </c>
      <c r="D37" s="99" t="str">
        <f>'таланты+инициативы'!D86</f>
        <v>ед</v>
      </c>
      <c r="E37" s="103">
        <f>'таланты+инициативы'!E86</f>
        <v>3</v>
      </c>
    </row>
    <row r="38" spans="1:5" ht="12" customHeight="1" x14ac:dyDescent="0.25">
      <c r="A38" s="735"/>
      <c r="B38" s="736"/>
      <c r="C38" s="139" t="str">
        <f>'таланты+инициативы'!A87</f>
        <v xml:space="preserve"> проезд подростков и сопровождающего от школы</v>
      </c>
      <c r="D38" s="99" t="str">
        <f>'таланты+инициативы'!D87</f>
        <v>ед</v>
      </c>
      <c r="E38" s="103">
        <f>'таланты+инициативы'!E87</f>
        <v>9</v>
      </c>
    </row>
    <row r="39" spans="1:5" ht="12" customHeight="1" x14ac:dyDescent="0.25">
      <c r="A39" s="735"/>
      <c r="B39" s="736"/>
      <c r="C39" s="139" t="str">
        <f>'таланты+инициативы'!A88</f>
        <v>Проживание 4 суток</v>
      </c>
      <c r="D39" s="99" t="str">
        <f>'таланты+инициативы'!D88</f>
        <v>ед</v>
      </c>
      <c r="E39" s="103">
        <f>'таланты+инициативы'!E88</f>
        <v>10</v>
      </c>
    </row>
    <row r="40" spans="1:5" ht="12" customHeight="1" x14ac:dyDescent="0.25">
      <c r="A40" s="735"/>
      <c r="B40" s="736"/>
      <c r="C40" s="139" t="str">
        <f>'таланты+инициативы'!A89</f>
        <v>Суточные (4 суток)</v>
      </c>
      <c r="D40" s="99" t="str">
        <f>'таланты+инициативы'!D89</f>
        <v>сут</v>
      </c>
      <c r="E40" s="103">
        <f>'таланты+инициативы'!E89</f>
        <v>9</v>
      </c>
    </row>
    <row r="41" spans="1:5" ht="12" customHeight="1" x14ac:dyDescent="0.25">
      <c r="A41" s="735"/>
      <c r="B41" s="736"/>
      <c r="C41" s="139" t="str">
        <f>'таланты+инициативы'!A91</f>
        <v xml:space="preserve">проезд  сопровождающего </v>
      </c>
      <c r="D41" s="99" t="str">
        <f>'таланты+инициативы'!D91</f>
        <v>ед</v>
      </c>
      <c r="E41" s="103">
        <f>'таланты+инициативы'!E91</f>
        <v>2</v>
      </c>
    </row>
    <row r="42" spans="1:5" ht="12" customHeight="1" x14ac:dyDescent="0.25">
      <c r="A42" s="735"/>
      <c r="B42" s="736"/>
      <c r="C42" s="139" t="str">
        <f>'таланты+инициативы'!A92</f>
        <v>Проживание 3 суток сопровождающий</v>
      </c>
      <c r="D42" s="99" t="str">
        <f>'таланты+инициативы'!D92</f>
        <v>сут</v>
      </c>
      <c r="E42" s="103">
        <f>'таланты+инициативы'!E92</f>
        <v>3</v>
      </c>
    </row>
    <row r="43" spans="1:5" ht="12" customHeight="1" x14ac:dyDescent="0.25">
      <c r="A43" s="735"/>
      <c r="B43" s="736"/>
      <c r="C43" s="139" t="str">
        <f>'таланты+инициативы'!A93</f>
        <v>Суточные (4 суток сопровождающий)</v>
      </c>
      <c r="D43" s="99" t="str">
        <f>'таланты+инициативы'!D93</f>
        <v>сут</v>
      </c>
      <c r="E43" s="103">
        <f>'таланты+инициативы'!E93</f>
        <v>4</v>
      </c>
    </row>
    <row r="44" spans="1:5" ht="12" customHeight="1" x14ac:dyDescent="0.25">
      <c r="A44" s="735"/>
      <c r="B44" s="736"/>
      <c r="C44" s="139" t="str">
        <f>'таланты+инициативы'!A94</f>
        <v xml:space="preserve"> проезд подростков и сопровождающего от школы</v>
      </c>
      <c r="D44" s="99" t="str">
        <f>'таланты+инициативы'!D94</f>
        <v>ед</v>
      </c>
      <c r="E44" s="103">
        <f>'таланты+инициативы'!E94</f>
        <v>2</v>
      </c>
    </row>
    <row r="45" spans="1:5" ht="12" customHeight="1" x14ac:dyDescent="0.25">
      <c r="A45" s="735"/>
      <c r="B45" s="736"/>
      <c r="C45" s="139" t="str">
        <f>'таланты+инициативы'!A95</f>
        <v>Проживание 3 суток</v>
      </c>
      <c r="D45" s="99" t="str">
        <f>'таланты+инициативы'!D95</f>
        <v>сут</v>
      </c>
      <c r="E45" s="103">
        <f>'таланты+инициативы'!E95</f>
        <v>6</v>
      </c>
    </row>
    <row r="46" spans="1:5" ht="12" customHeight="1" x14ac:dyDescent="0.25">
      <c r="A46" s="735"/>
      <c r="B46" s="736"/>
      <c r="C46" s="139" t="str">
        <f>'таланты+инициативы'!A96</f>
        <v>Суточные (2 подростка)</v>
      </c>
      <c r="D46" s="99" t="str">
        <f>'таланты+инициативы'!D96</f>
        <v>сут</v>
      </c>
      <c r="E46" s="103">
        <f>'таланты+инициативы'!E96</f>
        <v>8</v>
      </c>
    </row>
    <row r="47" spans="1:5" ht="12" customHeight="1" x14ac:dyDescent="0.25">
      <c r="A47" s="735"/>
      <c r="B47" s="736"/>
      <c r="C47" s="139" t="str">
        <f>'таланты+инициативы'!A98</f>
        <v xml:space="preserve"> проезд подростков</v>
      </c>
      <c r="D47" s="99" t="str">
        <f>'таланты+инициативы'!D98</f>
        <v>ед</v>
      </c>
      <c r="E47" s="103">
        <f>'таланты+инициативы'!E98</f>
        <v>4</v>
      </c>
    </row>
    <row r="48" spans="1:5" ht="12" customHeight="1" x14ac:dyDescent="0.25">
      <c r="A48" s="735"/>
      <c r="B48" s="736"/>
      <c r="C48" s="139" t="str">
        <f>'таланты+инициативы'!A99</f>
        <v>Проживание 6 суток</v>
      </c>
      <c r="D48" s="99" t="str">
        <f>'таланты+инициативы'!D99</f>
        <v>сут</v>
      </c>
      <c r="E48" s="103">
        <f>'таланты+инициативы'!E99</f>
        <v>0</v>
      </c>
    </row>
    <row r="49" spans="1:5" ht="12" customHeight="1" x14ac:dyDescent="0.25">
      <c r="A49" s="735"/>
      <c r="B49" s="736"/>
      <c r="C49" s="139" t="str">
        <f>'таланты+инициативы'!A100</f>
        <v>Суточные (3 подростков)</v>
      </c>
      <c r="D49" s="99" t="str">
        <f>'таланты+инициативы'!D100</f>
        <v>сут</v>
      </c>
      <c r="E49" s="103">
        <f>'таланты+инициативы'!E100</f>
        <v>8</v>
      </c>
    </row>
    <row r="50" spans="1:5" ht="12" customHeight="1" x14ac:dyDescent="0.25">
      <c r="A50" s="735"/>
      <c r="B50" s="736"/>
      <c r="C50" s="139" t="str">
        <f>'таланты+инициативы'!A102</f>
        <v>Ботинки летние Ларгос Армия</v>
      </c>
      <c r="D50" s="99" t="str">
        <f>'таланты+инициативы'!D102</f>
        <v>шт</v>
      </c>
      <c r="E50" s="103">
        <f>'таланты+инициативы'!E102</f>
        <v>3</v>
      </c>
    </row>
    <row r="51" spans="1:5" ht="12" customHeight="1" x14ac:dyDescent="0.25">
      <c r="A51" s="735"/>
      <c r="B51" s="736"/>
      <c r="C51" s="139" t="str">
        <f>'таланты+инициативы'!A103</f>
        <v>Ботинки летние Ларгос Омон</v>
      </c>
      <c r="D51" s="99" t="str">
        <f>'таланты+инициативы'!D103</f>
        <v>шт</v>
      </c>
      <c r="E51" s="103">
        <f>'таланты+инициативы'!E103</f>
        <v>2</v>
      </c>
    </row>
    <row r="52" spans="1:5" ht="12" customHeight="1" x14ac:dyDescent="0.25">
      <c r="A52" s="735"/>
      <c r="B52" s="736"/>
      <c r="C52" s="139" t="str">
        <f>'таланты+инициативы'!A104</f>
        <v>Коврик туристический</v>
      </c>
      <c r="D52" s="99" t="str">
        <f>'таланты+инициативы'!D104</f>
        <v>шт</v>
      </c>
      <c r="E52" s="103">
        <f>'таланты+инициативы'!E104</f>
        <v>5</v>
      </c>
    </row>
    <row r="53" spans="1:5" ht="12" customHeight="1" x14ac:dyDescent="0.25">
      <c r="A53" s="735"/>
      <c r="B53" s="736"/>
      <c r="C53" s="139" t="str">
        <f>'таланты+инициативы'!A105</f>
        <v>Костюм Горка-5</v>
      </c>
      <c r="D53" s="99" t="str">
        <f>'таланты+инициативы'!D105</f>
        <v>шт</v>
      </c>
      <c r="E53" s="103">
        <f>'таланты+инициативы'!E105</f>
        <v>5</v>
      </c>
    </row>
    <row r="54" spans="1:5" ht="12" customHeight="1" x14ac:dyDescent="0.25">
      <c r="A54" s="735"/>
      <c r="B54" s="736"/>
      <c r="C54" s="139" t="str">
        <f>'таланты+инициативы'!A106</f>
        <v>Палатка</v>
      </c>
      <c r="D54" s="99" t="str">
        <f>'таланты+инициативы'!D106</f>
        <v>шт</v>
      </c>
      <c r="E54" s="103">
        <f>'таланты+инициативы'!E106</f>
        <v>1</v>
      </c>
    </row>
    <row r="55" spans="1:5" ht="12" customHeight="1" x14ac:dyDescent="0.25">
      <c r="A55" s="735"/>
      <c r="B55" s="736"/>
      <c r="C55" s="139" t="str">
        <f>'таланты+инициативы'!A107</f>
        <v>Плащ ветро-влагозащитный</v>
      </c>
      <c r="D55" s="99" t="str">
        <f>'таланты+инициативы'!D107</f>
        <v>шт</v>
      </c>
      <c r="E55" s="103">
        <f>'таланты+инициативы'!E107</f>
        <v>5</v>
      </c>
    </row>
    <row r="56" spans="1:5" ht="12" customHeight="1" x14ac:dyDescent="0.25">
      <c r="A56" s="735"/>
      <c r="B56" s="736"/>
      <c r="C56" s="139" t="str">
        <f>'таланты+инициативы'!A108</f>
        <v>Рюкзак</v>
      </c>
      <c r="D56" s="99" t="str">
        <f>'таланты+инициативы'!D108</f>
        <v>шт</v>
      </c>
      <c r="E56" s="103">
        <f>'таланты+инициативы'!E108</f>
        <v>5</v>
      </c>
    </row>
    <row r="57" spans="1:5" ht="12" customHeight="1" x14ac:dyDescent="0.25">
      <c r="A57" s="735"/>
      <c r="B57" s="736"/>
      <c r="C57" s="139" t="str">
        <f>'таланты+инициативы'!A109</f>
        <v>Сапоги Дарина</v>
      </c>
      <c r="D57" s="99" t="str">
        <f>'таланты+инициативы'!D109</f>
        <v>шт</v>
      </c>
      <c r="E57" s="103">
        <f>'таланты+инициативы'!E109</f>
        <v>3</v>
      </c>
    </row>
    <row r="58" spans="1:5" ht="12" customHeight="1" x14ac:dyDescent="0.25">
      <c r="A58" s="735"/>
      <c r="B58" s="736"/>
      <c r="C58" s="139" t="str">
        <f>'таланты+инициативы'!A110</f>
        <v>Сапоги Ястреб</v>
      </c>
      <c r="D58" s="99" t="str">
        <f>'таланты+инициативы'!D110</f>
        <v>шт</v>
      </c>
      <c r="E58" s="103">
        <f>'таланты+инициативы'!E110</f>
        <v>2</v>
      </c>
    </row>
    <row r="59" spans="1:5" ht="12" customHeight="1" x14ac:dyDescent="0.25">
      <c r="A59" s="735"/>
      <c r="B59" s="736"/>
      <c r="C59" s="139" t="str">
        <f>'таланты+инициативы'!A111</f>
        <v>Сиденье туристическое</v>
      </c>
      <c r="D59" s="99" t="str">
        <f>'таланты+инициативы'!D111</f>
        <v>шт</v>
      </c>
      <c r="E59" s="103">
        <f>'таланты+инициативы'!E111</f>
        <v>5</v>
      </c>
    </row>
    <row r="60" spans="1:5" ht="12" customHeight="1" x14ac:dyDescent="0.25">
      <c r="A60" s="735"/>
      <c r="B60" s="736"/>
      <c r="C60" s="139" t="str">
        <f>'таланты+инициативы'!A112</f>
        <v>Спальный мешок</v>
      </c>
      <c r="D60" s="99" t="str">
        <f>'таланты+инициативы'!D112</f>
        <v>шт</v>
      </c>
      <c r="E60" s="103">
        <f>'таланты+инициативы'!E112</f>
        <v>5</v>
      </c>
    </row>
    <row r="61" spans="1:5" ht="12" customHeight="1" x14ac:dyDescent="0.25">
      <c r="A61" s="735"/>
      <c r="B61" s="736"/>
      <c r="C61" s="139" t="str">
        <f>'таланты+инициативы'!A114</f>
        <v xml:space="preserve"> проезд подростков</v>
      </c>
      <c r="D61" s="99" t="str">
        <f>'таланты+инициативы'!D114</f>
        <v>ед</v>
      </c>
      <c r="E61" s="103">
        <f>'таланты+инициативы'!E114</f>
        <v>3</v>
      </c>
    </row>
    <row r="62" spans="1:5" ht="12" customHeight="1" x14ac:dyDescent="0.25">
      <c r="A62" s="735"/>
      <c r="B62" s="736"/>
      <c r="C62" s="139" t="str">
        <f>'таланты+инициативы'!A115</f>
        <v>Проживание 3 суток</v>
      </c>
      <c r="D62" s="99" t="str">
        <f>'таланты+инициативы'!D115</f>
        <v>сут</v>
      </c>
      <c r="E62" s="103">
        <f>'таланты+инициативы'!E115</f>
        <v>6</v>
      </c>
    </row>
    <row r="63" spans="1:5" ht="12" customHeight="1" x14ac:dyDescent="0.25">
      <c r="A63" s="735"/>
      <c r="B63" s="736"/>
      <c r="C63" s="139" t="str">
        <f>'таланты+инициативы'!A116</f>
        <v>Суточные (3 подростков)</v>
      </c>
      <c r="D63" s="99" t="str">
        <f>'таланты+инициативы'!D116</f>
        <v>сут</v>
      </c>
      <c r="E63" s="103">
        <f>'таланты+инициативы'!E116</f>
        <v>6</v>
      </c>
    </row>
    <row r="64" spans="1:5" ht="12" customHeight="1" x14ac:dyDescent="0.25">
      <c r="A64" s="735"/>
      <c r="B64" s="736"/>
      <c r="C64" s="139" t="str">
        <f>'таланты+инициативы'!A118</f>
        <v>Перчатки</v>
      </c>
      <c r="D64" s="99" t="str">
        <f>'таланты+инициативы'!D118</f>
        <v>шт</v>
      </c>
      <c r="E64" s="103">
        <f>'таланты+инициативы'!E118</f>
        <v>90</v>
      </c>
    </row>
    <row r="65" spans="1:5" ht="12" customHeight="1" x14ac:dyDescent="0.25">
      <c r="A65" s="735"/>
      <c r="B65" s="736"/>
      <c r="C65" s="139" t="str">
        <f>'таланты+инициативы'!A119</f>
        <v>Дождевики</v>
      </c>
      <c r="D65" s="99" t="str">
        <f>'таланты+инициативы'!D119</f>
        <v>шт</v>
      </c>
      <c r="E65" s="103">
        <f>'таланты+инициативы'!E119</f>
        <v>39</v>
      </c>
    </row>
    <row r="66" spans="1:5" ht="12" customHeight="1" x14ac:dyDescent="0.25">
      <c r="A66" s="735"/>
      <c r="B66" s="736"/>
      <c r="C66" s="139" t="str">
        <f>'таланты+инициативы'!A120</f>
        <v>Сувениры</v>
      </c>
      <c r="D66" s="99" t="str">
        <f>'таланты+инициативы'!D120</f>
        <v>шт</v>
      </c>
      <c r="E66" s="103">
        <f>'таланты+инициативы'!E120</f>
        <v>60</v>
      </c>
    </row>
    <row r="67" spans="1:5" ht="12" customHeight="1" x14ac:dyDescent="0.25">
      <c r="A67" s="735"/>
      <c r="B67" s="736"/>
      <c r="C67" s="139" t="str">
        <f>'таланты+инициативы'!A122</f>
        <v>Подставки (стекло, шильд, гравировка)</v>
      </c>
      <c r="D67" s="99" t="str">
        <f>'таланты+инициативы'!D122</f>
        <v>шт</v>
      </c>
      <c r="E67" s="103">
        <f>'таланты+инициативы'!E122</f>
        <v>3</v>
      </c>
    </row>
    <row r="68" spans="1:5" ht="12" customHeight="1" x14ac:dyDescent="0.25">
      <c r="A68" s="735"/>
      <c r="B68" s="736"/>
      <c r="C68" s="139" t="str">
        <f>'таланты+инициативы'!A123</f>
        <v xml:space="preserve">подарочный сертификат </v>
      </c>
      <c r="D68" s="99" t="str">
        <f>'таланты+инициативы'!D123</f>
        <v>шт</v>
      </c>
      <c r="E68" s="103">
        <f>'таланты+инициативы'!E123</f>
        <v>1</v>
      </c>
    </row>
    <row r="69" spans="1:5" ht="12" customHeight="1" x14ac:dyDescent="0.25">
      <c r="A69" s="735"/>
      <c r="B69" s="736"/>
      <c r="C69" s="139" t="str">
        <f>'таланты+инициативы'!A124</f>
        <v xml:space="preserve">подарочный сертификат </v>
      </c>
      <c r="D69" s="99" t="str">
        <f>'таланты+инициативы'!D124</f>
        <v>шт</v>
      </c>
      <c r="E69" s="103">
        <f>'таланты+инициативы'!E124</f>
        <v>1</v>
      </c>
    </row>
    <row r="70" spans="1:5" ht="12" customHeight="1" x14ac:dyDescent="0.25">
      <c r="A70" s="735"/>
      <c r="B70" s="736"/>
      <c r="C70" s="139" t="str">
        <f>'таланты+инициативы'!A125</f>
        <v>абонемент подарочный</v>
      </c>
      <c r="D70" s="99" t="str">
        <f>'таланты+инициативы'!D125</f>
        <v>шт</v>
      </c>
      <c r="E70" s="103">
        <f>'таланты+инициативы'!E125</f>
        <v>1</v>
      </c>
    </row>
    <row r="71" spans="1:5" ht="12" customHeight="1" x14ac:dyDescent="0.25">
      <c r="A71" s="735"/>
      <c r="B71" s="736"/>
      <c r="C71" s="139" t="str">
        <f>'таланты+инициативы'!A126</f>
        <v xml:space="preserve">эмаль для окраски </v>
      </c>
      <c r="D71" s="99" t="str">
        <f>'таланты+инициативы'!D126</f>
        <v>шт</v>
      </c>
      <c r="E71" s="103">
        <f>'таланты+инициативы'!E126</f>
        <v>2</v>
      </c>
    </row>
    <row r="72" spans="1:5" ht="12" customHeight="1" x14ac:dyDescent="0.25">
      <c r="A72" s="735"/>
      <c r="B72" s="736"/>
      <c r="C72" s="139" t="str">
        <f>'таланты+инициативы'!A127</f>
        <v xml:space="preserve">эмаль для окраски </v>
      </c>
      <c r="D72" s="99" t="str">
        <f>'таланты+инициативы'!D127</f>
        <v>шт</v>
      </c>
      <c r="E72" s="103">
        <f>'таланты+инициативы'!E127</f>
        <v>1</v>
      </c>
    </row>
    <row r="73" spans="1:5" ht="12" customHeight="1" x14ac:dyDescent="0.25">
      <c r="A73" s="735"/>
      <c r="B73" s="736"/>
      <c r="C73" s="139" t="str">
        <f>'таланты+инициативы'!A129</f>
        <v>Футболки</v>
      </c>
      <c r="D73" s="99" t="str">
        <f>'таланты+инициативы'!D129</f>
        <v>шт</v>
      </c>
      <c r="E73" s="103">
        <f>'таланты+инициативы'!E129</f>
        <v>40</v>
      </c>
    </row>
    <row r="74" spans="1:5" ht="12" customHeight="1" x14ac:dyDescent="0.25">
      <c r="A74" s="735"/>
      <c r="B74" s="736"/>
      <c r="C74" s="139" t="str">
        <f>'таланты+инициативы'!A130</f>
        <v>Флеш Карты USB 8 GB</v>
      </c>
      <c r="D74" s="99" t="str">
        <f>'таланты+инициативы'!D130</f>
        <v>шт</v>
      </c>
      <c r="E74" s="103">
        <f>'таланты+инициативы'!E130</f>
        <v>24</v>
      </c>
    </row>
    <row r="75" spans="1:5" ht="12" customHeight="1" x14ac:dyDescent="0.25">
      <c r="A75" s="735"/>
      <c r="B75" s="736"/>
      <c r="C75" s="139" t="str">
        <f>'таланты+инициативы'!A132</f>
        <v>Рамки для дипломов, А4</v>
      </c>
      <c r="D75" s="99" t="str">
        <f>'таланты+инициативы'!D132</f>
        <v>шт</v>
      </c>
      <c r="E75" s="103">
        <f>'таланты+инициативы'!E132</f>
        <v>88</v>
      </c>
    </row>
    <row r="76" spans="1:5" ht="12" customHeight="1" x14ac:dyDescent="0.25">
      <c r="A76" s="735"/>
      <c r="B76" s="736"/>
      <c r="C76" s="666" t="s">
        <v>147</v>
      </c>
      <c r="D76" s="667"/>
      <c r="E76" s="668"/>
    </row>
    <row r="77" spans="1:5" ht="12" customHeight="1" x14ac:dyDescent="0.25">
      <c r="A77" s="735"/>
      <c r="B77" s="736"/>
      <c r="C77" s="666" t="s">
        <v>148</v>
      </c>
      <c r="D77" s="667"/>
      <c r="E77" s="668"/>
    </row>
    <row r="78" spans="1:5" ht="12" customHeight="1" x14ac:dyDescent="0.25">
      <c r="A78" s="735"/>
      <c r="B78" s="736"/>
      <c r="C78" s="146" t="str">
        <f>'натур показатели патриотика'!C52</f>
        <v>Теплоэнергия</v>
      </c>
      <c r="D78" s="147" t="str">
        <f>'натур показатели патриотика'!D52</f>
        <v>Гкал</v>
      </c>
      <c r="E78" s="148">
        <f>'таланты+инициативы'!D173</f>
        <v>14.465</v>
      </c>
    </row>
    <row r="79" spans="1:5" ht="12" customHeight="1" x14ac:dyDescent="0.25">
      <c r="A79" s="735"/>
      <c r="B79" s="736"/>
      <c r="C79" s="146" t="str">
        <f>'натур показатели патриотика'!C53</f>
        <v>Водоснабжение 1 полугодие</v>
      </c>
      <c r="D79" s="147" t="str">
        <f>'натур показатели патриотика'!D53</f>
        <v>м3</v>
      </c>
      <c r="E79" s="148">
        <f>'таланты+инициативы'!D174</f>
        <v>27.956900000000001</v>
      </c>
    </row>
    <row r="80" spans="1:5" ht="12" customHeight="1" x14ac:dyDescent="0.25">
      <c r="A80" s="735"/>
      <c r="B80" s="736"/>
      <c r="C80" s="146" t="str">
        <f>'натур показатели патриотика'!C54</f>
        <v>Водоснабжение 2 полугодие</v>
      </c>
      <c r="D80" s="147" t="str">
        <f>'натур показатели патриотика'!D54</f>
        <v>м3</v>
      </c>
      <c r="E80" s="148">
        <f>'таланты+инициативы'!D175</f>
        <v>27.956900000000001</v>
      </c>
    </row>
    <row r="81" spans="1:5" ht="12" customHeight="1" x14ac:dyDescent="0.25">
      <c r="A81" s="735"/>
      <c r="B81" s="736"/>
      <c r="C81" s="146" t="str">
        <f>'натур показатели патриотика'!C55</f>
        <v>Электроэнергия</v>
      </c>
      <c r="D81" s="147" t="str">
        <f>'натур показатели патриотика'!D55</f>
        <v>КВТ/ч</v>
      </c>
      <c r="E81" s="148">
        <f>'таланты+инициативы'!D176</f>
        <v>2.7246799999999998</v>
      </c>
    </row>
    <row r="82" spans="1:5" ht="12" customHeight="1" x14ac:dyDescent="0.25">
      <c r="A82" s="735"/>
      <c r="B82" s="736"/>
      <c r="C82" s="146" t="str">
        <f>'натур показатели патриотика'!C56</f>
        <v>Водоотведение (септик)  откачка асс. машиной 6 раз в год</v>
      </c>
      <c r="D82" s="147" t="str">
        <f>'натур показатели патриотика'!D56</f>
        <v>дог</v>
      </c>
      <c r="E82" s="148">
        <f>'таланты+инициативы'!D177</f>
        <v>3.1560000000000001</v>
      </c>
    </row>
    <row r="83" spans="1:5" ht="12" customHeight="1" x14ac:dyDescent="0.25">
      <c r="A83" s="735"/>
      <c r="B83" s="736"/>
      <c r="C83" s="146" t="str">
        <f>'натур показатели патриотика'!C57</f>
        <v>ТКО</v>
      </c>
      <c r="D83" s="147" t="str">
        <f>'натур показатели патриотика'!D57</f>
        <v>м3</v>
      </c>
      <c r="E83" s="148">
        <f>'таланты+инициативы'!D178</f>
        <v>0.95626800000000012</v>
      </c>
    </row>
    <row r="84" spans="1:5" ht="12" customHeight="1" x14ac:dyDescent="0.25">
      <c r="A84" s="735"/>
      <c r="B84" s="736"/>
      <c r="C84" s="672" t="s">
        <v>149</v>
      </c>
      <c r="D84" s="673"/>
      <c r="E84" s="674"/>
    </row>
    <row r="85" spans="1:5" ht="12" customHeight="1" x14ac:dyDescent="0.25">
      <c r="A85" s="735"/>
      <c r="B85" s="736"/>
      <c r="C85" s="318" t="str">
        <f>'таланты+инициативы'!A225</f>
        <v xml:space="preserve">Обслуживание систем пожарной сигнализации  </v>
      </c>
      <c r="D85" s="147" t="s">
        <v>22</v>
      </c>
      <c r="E85" s="319">
        <f>'таланты+инициативы'!D225</f>
        <v>3.1560000000000001</v>
      </c>
    </row>
    <row r="86" spans="1:5" ht="12" customHeight="1" x14ac:dyDescent="0.25">
      <c r="A86" s="735"/>
      <c r="B86" s="736"/>
      <c r="C86" s="318" t="str">
        <f>'таланты+инициативы'!A226</f>
        <v xml:space="preserve">Уборка территории от снега </v>
      </c>
      <c r="D86" s="147" t="s">
        <v>22</v>
      </c>
      <c r="E86" s="319">
        <f>'таланты+инициативы'!D226</f>
        <v>0.52600000000000002</v>
      </c>
    </row>
    <row r="87" spans="1:5" ht="12" customHeight="1" x14ac:dyDescent="0.25">
      <c r="A87" s="735"/>
      <c r="B87" s="736"/>
      <c r="C87" s="318" t="str">
        <f>'таланты+инициативы'!A227</f>
        <v>Профилактическая дезинфекция</v>
      </c>
      <c r="D87" s="147" t="s">
        <v>22</v>
      </c>
      <c r="E87" s="319">
        <f>'таланты+инициативы'!D227</f>
        <v>0.26300000000000001</v>
      </c>
    </row>
    <row r="88" spans="1:5" ht="12" customHeight="1" x14ac:dyDescent="0.25">
      <c r="A88" s="735"/>
      <c r="B88" s="736"/>
      <c r="C88" s="318" t="str">
        <f>'таланты+инициативы'!A228</f>
        <v>Комплексное обслуживание системы тепловодоснабжения и конструктивных элементов здания</v>
      </c>
      <c r="D88" s="147" t="s">
        <v>22</v>
      </c>
      <c r="E88" s="319">
        <f>'таланты+инициативы'!D228</f>
        <v>0.26300000000000001</v>
      </c>
    </row>
    <row r="89" spans="1:5" ht="12" customHeight="1" x14ac:dyDescent="0.25">
      <c r="A89" s="735"/>
      <c r="B89" s="736"/>
      <c r="C89" s="318" t="str">
        <f>'таланты+инициативы'!A229</f>
        <v>Договор осмотр технического состояния автомобиля</v>
      </c>
      <c r="D89" s="147" t="s">
        <v>22</v>
      </c>
      <c r="E89" s="319">
        <f>'таланты+инициативы'!D229</f>
        <v>22.355</v>
      </c>
    </row>
    <row r="90" spans="1:5" ht="12" customHeight="1" x14ac:dyDescent="0.25">
      <c r="A90" s="735"/>
      <c r="B90" s="736"/>
      <c r="C90" s="318" t="str">
        <f>'таланты+инициативы'!A230</f>
        <v>Разбор и сбор моста</v>
      </c>
      <c r="D90" s="147" t="s">
        <v>22</v>
      </c>
      <c r="E90" s="319">
        <f>'таланты+инициативы'!D230</f>
        <v>0.26300000000000001</v>
      </c>
    </row>
    <row r="91" spans="1:5" ht="14.45" customHeight="1" x14ac:dyDescent="0.25">
      <c r="A91" s="735"/>
      <c r="B91" s="736"/>
      <c r="C91" s="318" t="str">
        <f>'таланты+инициативы'!A231</f>
        <v>Правка передней оси под прессом</v>
      </c>
      <c r="D91" s="147" t="s">
        <v>22</v>
      </c>
      <c r="E91" s="319">
        <f>'таланты+инициативы'!D231</f>
        <v>0.26300000000000001</v>
      </c>
    </row>
    <row r="92" spans="1:5" ht="14.45" customHeight="1" x14ac:dyDescent="0.25">
      <c r="A92" s="735"/>
      <c r="B92" s="736"/>
      <c r="C92" s="318" t="str">
        <f>'таланты+инициативы'!A232</f>
        <v>Ремонт шкворня</v>
      </c>
      <c r="D92" s="147" t="s">
        <v>22</v>
      </c>
      <c r="E92" s="319">
        <f>'таланты+инициативы'!D232</f>
        <v>0.52600000000000002</v>
      </c>
    </row>
    <row r="93" spans="1:5" ht="14.45" customHeight="1" x14ac:dyDescent="0.25">
      <c r="A93" s="735"/>
      <c r="B93" s="736"/>
      <c r="C93" s="318" t="str">
        <f>'таланты+инициативы'!A233</f>
        <v>Ремонт поворотной цапфы</v>
      </c>
      <c r="D93" s="147" t="s">
        <v>22</v>
      </c>
      <c r="E93" s="319">
        <f>'таланты+инициативы'!D233</f>
        <v>0.52600000000000002</v>
      </c>
    </row>
    <row r="94" spans="1:5" ht="14.45" customHeight="1" x14ac:dyDescent="0.25">
      <c r="A94" s="735"/>
      <c r="B94" s="736"/>
      <c r="C94" s="318" t="str">
        <f>'таланты+инициативы'!A234</f>
        <v>Восстановление площадки под крепление рессор</v>
      </c>
      <c r="D94" s="147" t="s">
        <v>22</v>
      </c>
      <c r="E94" s="319">
        <f>'таланты+инициативы'!D234</f>
        <v>0.52600000000000002</v>
      </c>
    </row>
    <row r="95" spans="1:5" ht="14.45" customHeight="1" x14ac:dyDescent="0.25">
      <c r="A95" s="735"/>
      <c r="B95" s="736"/>
      <c r="C95" s="318" t="str">
        <f>'таланты+инициативы'!A235</f>
        <v>Обработка абразивным кругом</v>
      </c>
      <c r="D95" s="147" t="s">
        <v>22</v>
      </c>
      <c r="E95" s="319">
        <f>'таланты+инициативы'!D235</f>
        <v>0.52600000000000002</v>
      </c>
    </row>
    <row r="96" spans="1:5" ht="14.45" customHeight="1" x14ac:dyDescent="0.25">
      <c r="A96" s="735"/>
      <c r="B96" s="736"/>
      <c r="C96" s="318" t="str">
        <f>'таланты+инициативы'!A236</f>
        <v>Ремонт шестерней редуктора</v>
      </c>
      <c r="D96" s="147" t="s">
        <v>22</v>
      </c>
      <c r="E96" s="319">
        <f>'таланты+инициативы'!D236</f>
        <v>0.26300000000000001</v>
      </c>
    </row>
    <row r="97" spans="1:5" ht="14.45" customHeight="1" x14ac:dyDescent="0.25">
      <c r="A97" s="735"/>
      <c r="B97" s="736"/>
      <c r="C97" s="318" t="str">
        <f>'таланты+инициативы'!A237</f>
        <v>Ремонт главной пары передний и задний мост</v>
      </c>
      <c r="D97" s="147" t="s">
        <v>22</v>
      </c>
      <c r="E97" s="319">
        <f>'таланты+инициативы'!D237</f>
        <v>0.26300000000000001</v>
      </c>
    </row>
    <row r="98" spans="1:5" ht="37.5" customHeight="1" x14ac:dyDescent="0.25">
      <c r="A98" s="735"/>
      <c r="B98" s="736"/>
      <c r="C98" s="318" t="str">
        <f>'таланты+инициативы'!A238</f>
        <v>Покраска переднего бампера</v>
      </c>
      <c r="D98" s="147" t="s">
        <v>22</v>
      </c>
      <c r="E98" s="319">
        <f>'таланты+инициативы'!D238</f>
        <v>0.26300000000000001</v>
      </c>
    </row>
    <row r="99" spans="1:5" ht="23.25" customHeight="1" x14ac:dyDescent="0.25">
      <c r="A99" s="735"/>
      <c r="B99" s="736"/>
      <c r="C99" s="318" t="str">
        <f>'таланты+инициативы'!A239</f>
        <v>Покраска капота</v>
      </c>
      <c r="D99" s="147" t="s">
        <v>22</v>
      </c>
      <c r="E99" s="319">
        <f>'таланты+инициативы'!D239</f>
        <v>0.26300000000000001</v>
      </c>
    </row>
    <row r="100" spans="1:5" ht="15" customHeight="1" x14ac:dyDescent="0.25">
      <c r="A100" s="735"/>
      <c r="B100" s="736"/>
      <c r="C100" s="318" t="str">
        <f>'таланты+инициативы'!A240</f>
        <v>Покраска переднего левого крыла</v>
      </c>
      <c r="D100" s="147" t="s">
        <v>22</v>
      </c>
      <c r="E100" s="319">
        <f>'таланты+инициативы'!D240</f>
        <v>0.26300000000000001</v>
      </c>
    </row>
    <row r="101" spans="1:5" ht="15" customHeight="1" x14ac:dyDescent="0.25">
      <c r="A101" s="735"/>
      <c r="B101" s="736"/>
      <c r="C101" s="318" t="str">
        <f>'таланты+инициативы'!A241</f>
        <v>Покраска переднего правого крыла</v>
      </c>
      <c r="D101" s="147" t="s">
        <v>22</v>
      </c>
      <c r="E101" s="319">
        <f>'таланты+инициативы'!D241</f>
        <v>0.26300000000000001</v>
      </c>
    </row>
    <row r="102" spans="1:5" ht="15" customHeight="1" x14ac:dyDescent="0.25">
      <c r="A102" s="735"/>
      <c r="B102" s="736"/>
      <c r="C102" s="318" t="str">
        <f>'таланты+инициативы'!A242</f>
        <v>Покраска передней левой двери</v>
      </c>
      <c r="D102" s="147" t="s">
        <v>22</v>
      </c>
      <c r="E102" s="319">
        <f>'таланты+инициативы'!D242</f>
        <v>0.26300000000000001</v>
      </c>
    </row>
    <row r="103" spans="1:5" ht="15" customHeight="1" x14ac:dyDescent="0.25">
      <c r="A103" s="735"/>
      <c r="B103" s="736"/>
      <c r="C103" s="318" t="str">
        <f>'таланты+инициативы'!A243</f>
        <v>Покраска двери передней правой</v>
      </c>
      <c r="D103" s="147" t="s">
        <v>22</v>
      </c>
      <c r="E103" s="319">
        <f>'таланты+инициативы'!D243</f>
        <v>0.26300000000000001</v>
      </c>
    </row>
    <row r="104" spans="1:5" ht="15" customHeight="1" x14ac:dyDescent="0.25">
      <c r="A104" s="735"/>
      <c r="B104" s="736"/>
      <c r="C104" s="318" t="str">
        <f>'таланты+инициативы'!A244</f>
        <v>Покраска стойки правой</v>
      </c>
      <c r="D104" s="147" t="s">
        <v>22</v>
      </c>
      <c r="E104" s="319">
        <f>'таланты+инициативы'!D244</f>
        <v>0.26300000000000001</v>
      </c>
    </row>
    <row r="105" spans="1:5" ht="15" customHeight="1" x14ac:dyDescent="0.25">
      <c r="A105" s="735"/>
      <c r="B105" s="736"/>
      <c r="C105" s="318" t="str">
        <f>'таланты+инициативы'!A245</f>
        <v>Ремонт заднего бампера</v>
      </c>
      <c r="D105" s="147" t="s">
        <v>22</v>
      </c>
      <c r="E105" s="319">
        <f>'таланты+инициативы'!D245</f>
        <v>0.26300000000000001</v>
      </c>
    </row>
    <row r="106" spans="1:5" ht="15" customHeight="1" x14ac:dyDescent="0.25">
      <c r="A106" s="735"/>
      <c r="B106" s="736"/>
      <c r="C106" s="318" t="str">
        <f>'таланты+инициативы'!A246</f>
        <v>Покраска заднего бампера</v>
      </c>
      <c r="D106" s="147" t="s">
        <v>22</v>
      </c>
      <c r="E106" s="319">
        <f>'таланты+инициативы'!D246</f>
        <v>0.26300000000000001</v>
      </c>
    </row>
    <row r="107" spans="1:5" ht="15" customHeight="1" x14ac:dyDescent="0.25">
      <c r="A107" s="735"/>
      <c r="B107" s="736"/>
      <c r="C107" s="318" t="str">
        <f>'таланты+инициативы'!A247</f>
        <v>Полировка кузова</v>
      </c>
      <c r="D107" s="147" t="s">
        <v>22</v>
      </c>
      <c r="E107" s="319">
        <f>'таланты+инициативы'!D247</f>
        <v>0.26300000000000001</v>
      </c>
    </row>
    <row r="108" spans="1:5" ht="15" customHeight="1" x14ac:dyDescent="0.25">
      <c r="A108" s="735"/>
      <c r="B108" s="736"/>
      <c r="C108" s="318" t="str">
        <f>'таланты+инициативы'!A248</f>
        <v>Покраска крышки багажника</v>
      </c>
      <c r="D108" s="147" t="s">
        <v>22</v>
      </c>
      <c r="E108" s="319">
        <f>'таланты+инициативы'!D248</f>
        <v>0.26300000000000001</v>
      </c>
    </row>
    <row r="109" spans="1:5" ht="15" customHeight="1" x14ac:dyDescent="0.25">
      <c r="A109" s="735"/>
      <c r="B109" s="736"/>
      <c r="C109" s="318" t="str">
        <f>'таланты+инициативы'!A249</f>
        <v>Полировка стекол со снятием</v>
      </c>
      <c r="D109" s="147" t="s">
        <v>22</v>
      </c>
      <c r="E109" s="319">
        <f>'таланты+инициативы'!D249</f>
        <v>0.26300000000000001</v>
      </c>
    </row>
    <row r="110" spans="1:5" ht="15" customHeight="1" x14ac:dyDescent="0.25">
      <c r="A110" s="735"/>
      <c r="B110" s="736"/>
      <c r="C110" s="318" t="str">
        <f>'таланты+инициативы'!A250</f>
        <v>Слесарные работы по восстановлению сидений</v>
      </c>
      <c r="D110" s="147" t="s">
        <v>22</v>
      </c>
      <c r="E110" s="319">
        <f>'таланты+инициативы'!D250</f>
        <v>0.26300000000000001</v>
      </c>
    </row>
    <row r="111" spans="1:5" ht="15" customHeight="1" x14ac:dyDescent="0.25">
      <c r="A111" s="735"/>
      <c r="B111" s="736"/>
      <c r="C111" s="318" t="str">
        <f>'таланты+инициативы'!A251</f>
        <v>Ремонт электрогитары</v>
      </c>
      <c r="D111" s="147" t="s">
        <v>22</v>
      </c>
      <c r="E111" s="319">
        <f>'таланты+инициативы'!D251</f>
        <v>0.26300000000000001</v>
      </c>
    </row>
    <row r="112" spans="1:5" ht="15" customHeight="1" x14ac:dyDescent="0.25">
      <c r="A112" s="735"/>
      <c r="B112" s="736"/>
      <c r="C112" s="318" t="str">
        <f>'таланты+инициативы'!A252</f>
        <v>Ремонт акустической системы</v>
      </c>
      <c r="D112" s="147" t="s">
        <v>22</v>
      </c>
      <c r="E112" s="319">
        <f>'таланты+инициативы'!D252</f>
        <v>0.26300000000000001</v>
      </c>
    </row>
    <row r="113" spans="1:5" ht="15" customHeight="1" x14ac:dyDescent="0.25">
      <c r="A113" s="735"/>
      <c r="B113" s="736"/>
      <c r="C113" s="318" t="str">
        <f>'таланты+инициативы'!A253</f>
        <v>Ремонт микшера (USB канал)</v>
      </c>
      <c r="D113" s="147" t="s">
        <v>22</v>
      </c>
      <c r="E113" s="319">
        <f>'таланты+инициативы'!D253</f>
        <v>0.26300000000000001</v>
      </c>
    </row>
    <row r="114" spans="1:5" ht="15" customHeight="1" x14ac:dyDescent="0.25">
      <c r="A114" s="735"/>
      <c r="B114" s="736"/>
      <c r="C114" s="318" t="str">
        <f>'таланты+инициативы'!A254</f>
        <v>Ремонт комбо басовый</v>
      </c>
      <c r="D114" s="147" t="s">
        <v>22</v>
      </c>
      <c r="E114" s="319">
        <f>'таланты+инициативы'!D254</f>
        <v>0.26300000000000001</v>
      </c>
    </row>
    <row r="115" spans="1:5" ht="15" customHeight="1" x14ac:dyDescent="0.25">
      <c r="A115" s="735"/>
      <c r="B115" s="736"/>
      <c r="C115" s="318" t="str">
        <f>'таланты+инициативы'!A255</f>
        <v>Ремонт Гитарного комбоусителя</v>
      </c>
      <c r="D115" s="147" t="s">
        <v>22</v>
      </c>
      <c r="E115" s="319">
        <f>'таланты+инициативы'!D255</f>
        <v>0.26300000000000001</v>
      </c>
    </row>
    <row r="116" spans="1:5" ht="15" customHeight="1" x14ac:dyDescent="0.25">
      <c r="A116" s="735"/>
      <c r="B116" s="736"/>
      <c r="C116" s="318" t="str">
        <f>'таланты+инициативы'!A256</f>
        <v>Ремонт аккустической системы</v>
      </c>
      <c r="D116" s="147" t="s">
        <v>22</v>
      </c>
      <c r="E116" s="319">
        <f>'таланты+инициативы'!D256</f>
        <v>0.26300000000000001</v>
      </c>
    </row>
    <row r="117" spans="1:5" ht="15" customHeight="1" x14ac:dyDescent="0.25">
      <c r="A117" s="735"/>
      <c r="B117" s="736"/>
      <c r="C117" s="318" t="str">
        <f>'таланты+инициативы'!A257</f>
        <v>Ремонт микшера (сгоревшие каналы)</v>
      </c>
      <c r="D117" s="147" t="s">
        <v>22</v>
      </c>
      <c r="E117" s="319">
        <f>'таланты+инициативы'!D257</f>
        <v>0.26300000000000001</v>
      </c>
    </row>
    <row r="118" spans="1:5" ht="15" customHeight="1" x14ac:dyDescent="0.25">
      <c r="A118" s="735"/>
      <c r="B118" s="736"/>
      <c r="C118" s="669" t="s">
        <v>150</v>
      </c>
      <c r="D118" s="670"/>
      <c r="E118" s="671"/>
    </row>
    <row r="119" spans="1:5" ht="15" customHeight="1" x14ac:dyDescent="0.25">
      <c r="A119" s="735"/>
      <c r="B119" s="736"/>
      <c r="C119" s="150" t="str">
        <f>'инновации+добровольчество'!A148</f>
        <v>Договор ВЗ (связь по краю)</v>
      </c>
      <c r="D119" s="108" t="s">
        <v>95</v>
      </c>
      <c r="E119" s="282">
        <f>'таланты+инициативы'!D204</f>
        <v>0.26300000000000001</v>
      </c>
    </row>
    <row r="120" spans="1:5" ht="15" customHeight="1" x14ac:dyDescent="0.25">
      <c r="A120" s="735"/>
      <c r="B120" s="736"/>
      <c r="C120" s="150" t="str">
        <f>'инновации+добровольчество'!A149</f>
        <v>Абоненская плата за услуги связи, номеров</v>
      </c>
      <c r="D120" s="108" t="s">
        <v>22</v>
      </c>
      <c r="E120" s="282">
        <f>'таланты+инициативы'!D205</f>
        <v>0.26300000000000001</v>
      </c>
    </row>
    <row r="121" spans="1:5" ht="15" customHeight="1" x14ac:dyDescent="0.25">
      <c r="A121" s="735"/>
      <c r="B121" s="736"/>
      <c r="C121" s="150" t="str">
        <f>'инновации+добровольчество'!A150</f>
        <v>Абоненская плата за услуги Интернет кайтнет</v>
      </c>
      <c r="D121" s="108" t="s">
        <v>37</v>
      </c>
      <c r="E121" s="282">
        <f>'таланты+инициативы'!D206</f>
        <v>0.26300000000000001</v>
      </c>
    </row>
    <row r="122" spans="1:5" ht="15" customHeight="1" x14ac:dyDescent="0.25">
      <c r="A122" s="735"/>
      <c r="B122" s="736"/>
      <c r="C122" s="150" t="str">
        <f>'инновации+добровольчество'!A151</f>
        <v>Абоненская плата за услуги Интернет ИП Крамаренко:</v>
      </c>
      <c r="D122" s="108" t="s">
        <v>37</v>
      </c>
      <c r="E122" s="282">
        <f>'таланты+инициативы'!D207</f>
        <v>0.26300000000000001</v>
      </c>
    </row>
    <row r="123" spans="1:5" ht="15" customHeight="1" x14ac:dyDescent="0.25">
      <c r="A123" s="735"/>
      <c r="B123" s="736"/>
      <c r="C123" s="150" t="str">
        <f>'инновации+добровольчество'!A152</f>
        <v>Тариф Бизнес начальный</v>
      </c>
      <c r="D123" s="108" t="s">
        <v>38</v>
      </c>
      <c r="E123" s="282">
        <f>'таланты+инициативы'!D208</f>
        <v>0.26300000000000001</v>
      </c>
    </row>
    <row r="124" spans="1:5" ht="15" customHeight="1" x14ac:dyDescent="0.25">
      <c r="A124" s="735"/>
      <c r="B124" s="736"/>
      <c r="C124" s="150" t="str">
        <f>'инновации+добровольчество'!A153</f>
        <v>Тариф Бизнес</v>
      </c>
      <c r="D124" s="108" t="s">
        <v>38</v>
      </c>
      <c r="E124" s="282">
        <f>'таланты+инициативы'!D209</f>
        <v>0.26300000000000001</v>
      </c>
    </row>
    <row r="125" spans="1:5" ht="15" customHeight="1" x14ac:dyDescent="0.25">
      <c r="A125" s="735"/>
      <c r="B125" s="736"/>
      <c r="C125" s="150" t="str">
        <f>'инновации+добровольчество'!A154</f>
        <v>Почтовые услуги</v>
      </c>
      <c r="D125" s="108" t="s">
        <v>22</v>
      </c>
      <c r="E125" s="282">
        <f>'таланты+инициативы'!D210</f>
        <v>0.26300000000000001</v>
      </c>
    </row>
    <row r="126" spans="1:5" ht="12" customHeight="1" x14ac:dyDescent="0.25">
      <c r="A126" s="735"/>
      <c r="B126" s="736"/>
      <c r="C126" s="675" t="s">
        <v>151</v>
      </c>
      <c r="D126" s="676"/>
      <c r="E126" s="677"/>
    </row>
    <row r="127" spans="1:5" ht="21.6" customHeight="1" x14ac:dyDescent="0.25">
      <c r="A127" s="735"/>
      <c r="B127" s="736"/>
      <c r="C127" s="117" t="s">
        <v>216</v>
      </c>
      <c r="D127" s="320" t="s">
        <v>155</v>
      </c>
      <c r="E127" s="181">
        <f>'таланты+инициативы'!E139</f>
        <v>0.26300000000000001</v>
      </c>
    </row>
    <row r="128" spans="1:5" ht="12" customHeight="1" x14ac:dyDescent="0.25">
      <c r="A128" s="735"/>
      <c r="B128" s="736"/>
      <c r="C128" s="129" t="s">
        <v>153</v>
      </c>
      <c r="D128" s="320" t="s">
        <v>146</v>
      </c>
      <c r="E128" s="181">
        <f>'таланты+инициативы'!E140</f>
        <v>0.26300000000000001</v>
      </c>
    </row>
    <row r="129" spans="1:5" ht="24.6" customHeight="1" x14ac:dyDescent="0.25">
      <c r="A129" s="735"/>
      <c r="B129" s="736"/>
      <c r="C129" s="129" t="s">
        <v>96</v>
      </c>
      <c r="D129" s="320" t="s">
        <v>146</v>
      </c>
      <c r="E129" s="181">
        <f>'таланты+инициативы'!E141</f>
        <v>0.13150000000000001</v>
      </c>
    </row>
    <row r="130" spans="1:5" ht="24.6" customHeight="1" x14ac:dyDescent="0.25">
      <c r="A130" s="735"/>
      <c r="B130" s="736"/>
      <c r="C130" s="129" t="s">
        <v>154</v>
      </c>
      <c r="D130" s="320" t="s">
        <v>146</v>
      </c>
      <c r="E130" s="181">
        <f>'таланты+инициативы'!E142</f>
        <v>0.26300000000000001</v>
      </c>
    </row>
    <row r="131" spans="1:5" ht="24.6" customHeight="1" x14ac:dyDescent="0.25">
      <c r="A131" s="735"/>
      <c r="B131" s="736"/>
      <c r="C131" s="507" t="s">
        <v>158</v>
      </c>
      <c r="D131" s="508"/>
      <c r="E131" s="509"/>
    </row>
    <row r="132" spans="1:5" ht="12" customHeight="1" x14ac:dyDescent="0.25">
      <c r="A132" s="735"/>
      <c r="B132" s="736"/>
      <c r="C132" s="131" t="str">
        <f>'инновации+добровольчество'!A114</f>
        <v>Пособие по уходу за ребенком до 3-х лет</v>
      </c>
      <c r="D132" s="132" t="s">
        <v>134</v>
      </c>
      <c r="E132" s="141">
        <f>E127</f>
        <v>0.26300000000000001</v>
      </c>
    </row>
    <row r="133" spans="1:5" ht="14.45" customHeight="1" x14ac:dyDescent="0.25">
      <c r="A133" s="735"/>
      <c r="B133" s="736"/>
      <c r="C133" s="131" t="str">
        <f>'инновации+добровольчество'!A115</f>
        <v>выплата пособия на период трудоустройства (Остропицкая)</v>
      </c>
      <c r="D133" s="132" t="s">
        <v>134</v>
      </c>
      <c r="E133" s="141">
        <f t="shared" ref="E133:E135" si="0">E128</f>
        <v>0.26300000000000001</v>
      </c>
    </row>
    <row r="134" spans="1:5" ht="12" customHeight="1" x14ac:dyDescent="0.25">
      <c r="A134" s="735"/>
      <c r="B134" s="736"/>
      <c r="C134" s="131" t="str">
        <f>'инновации+добровольчество'!A116</f>
        <v>выплата пособия на период трудоустройства (Королёва)</v>
      </c>
      <c r="D134" s="132" t="s">
        <v>134</v>
      </c>
      <c r="E134" s="141">
        <v>0.26300000000000001</v>
      </c>
    </row>
    <row r="135" spans="1:5" ht="12" customHeight="1" x14ac:dyDescent="0.25">
      <c r="A135" s="735"/>
      <c r="B135" s="736"/>
      <c r="C135" s="131" t="str">
        <f>'инновации+добровольчество'!A117</f>
        <v>выплата пособия на период трудоустройства (Ахмерова)</v>
      </c>
      <c r="D135" s="132" t="s">
        <v>134</v>
      </c>
      <c r="E135" s="141">
        <f t="shared" si="0"/>
        <v>0.26300000000000001</v>
      </c>
    </row>
    <row r="136" spans="1:5" ht="12" customHeight="1" x14ac:dyDescent="0.25">
      <c r="A136" s="735"/>
      <c r="B136" s="736"/>
      <c r="C136" s="675" t="s">
        <v>159</v>
      </c>
      <c r="D136" s="676"/>
      <c r="E136" s="677"/>
    </row>
    <row r="137" spans="1:5" ht="12" customHeight="1" x14ac:dyDescent="0.25">
      <c r="A137" s="735"/>
      <c r="B137" s="736"/>
      <c r="C137" s="130" t="s">
        <v>287</v>
      </c>
      <c r="D137" s="108" t="s">
        <v>39</v>
      </c>
      <c r="E137" s="280">
        <f>'таланты+инициативы'!E194</f>
        <v>0.26300000000000001</v>
      </c>
    </row>
    <row r="138" spans="1:5" ht="12" customHeight="1" x14ac:dyDescent="0.25">
      <c r="A138" s="735"/>
      <c r="B138" s="736"/>
      <c r="C138" s="130" t="s">
        <v>288</v>
      </c>
      <c r="D138" s="108" t="s">
        <v>39</v>
      </c>
      <c r="E138" s="280">
        <f>'таланты+инициативы'!E195</f>
        <v>0.26300000000000001</v>
      </c>
    </row>
    <row r="139" spans="1:5" ht="12" customHeight="1" x14ac:dyDescent="0.25">
      <c r="A139" s="735"/>
      <c r="B139" s="736"/>
      <c r="C139" s="130" t="s">
        <v>289</v>
      </c>
      <c r="D139" s="108" t="s">
        <v>39</v>
      </c>
      <c r="E139" s="280">
        <f>'таланты+инициативы'!E196</f>
        <v>0.26300000000000001</v>
      </c>
    </row>
    <row r="140" spans="1:5" ht="12" customHeight="1" x14ac:dyDescent="0.25">
      <c r="A140" s="735"/>
      <c r="B140" s="736"/>
      <c r="C140" s="510" t="s">
        <v>160</v>
      </c>
      <c r="D140" s="511"/>
      <c r="E140" s="512"/>
    </row>
    <row r="141" spans="1:5" ht="11.25" customHeight="1" x14ac:dyDescent="0.25">
      <c r="A141" s="735"/>
      <c r="B141" s="736"/>
      <c r="C141" s="133" t="str">
        <f>'инновации+добровольчество'!A162</f>
        <v>Провоз груза 2000 кг (1 кг=9,50 руб)</v>
      </c>
      <c r="D141" s="134" t="s">
        <v>22</v>
      </c>
      <c r="E141" s="288">
        <f>E137</f>
        <v>0.26300000000000001</v>
      </c>
    </row>
    <row r="142" spans="1:5" ht="12" customHeight="1" x14ac:dyDescent="0.25">
      <c r="A142" s="735"/>
      <c r="B142" s="736"/>
      <c r="C142" s="669" t="s">
        <v>161</v>
      </c>
      <c r="D142" s="670"/>
      <c r="E142" s="671"/>
    </row>
    <row r="143" spans="1:5" ht="12.75" customHeight="1" x14ac:dyDescent="0.25">
      <c r="A143" s="735"/>
      <c r="B143" s="736"/>
      <c r="C143" s="120" t="str">
        <f>'натур показатели патриотика'!C117</f>
        <v>Обучение персонала и тепловые сети</v>
      </c>
      <c r="D143" s="69" t="str">
        <f>'натур показатели патриотика'!D117</f>
        <v>договор</v>
      </c>
      <c r="E143" s="181">
        <f>'таланты+инициативы'!D264</f>
        <v>0.52600000000000002</v>
      </c>
    </row>
    <row r="144" spans="1:5" ht="12.75" customHeight="1" x14ac:dyDescent="0.25">
      <c r="A144" s="735"/>
      <c r="B144" s="736"/>
      <c r="C144" s="120" t="str">
        <f>'натур показатели патриотика'!C118</f>
        <v>обучение персонала</v>
      </c>
      <c r="D144" s="69" t="str">
        <f>'натур показатели патриотика'!D118</f>
        <v>дог</v>
      </c>
      <c r="E144" s="181">
        <f>'таланты+инициативы'!D265</f>
        <v>0.26300000000000001</v>
      </c>
    </row>
    <row r="145" spans="1:5" ht="12" customHeight="1" x14ac:dyDescent="0.25">
      <c r="A145" s="735"/>
      <c r="B145" s="736"/>
      <c r="C145" s="120" t="str">
        <f>'натур показатели патриотика'!C119</f>
        <v>Услуги СЕМИС подписка</v>
      </c>
      <c r="D145" s="69" t="str">
        <f>'натур показатели патриотика'!D119</f>
        <v>договор</v>
      </c>
      <c r="E145" s="181">
        <f>'таланты+инициативы'!D266</f>
        <v>0.26300000000000001</v>
      </c>
    </row>
    <row r="146" spans="1:5" ht="12" customHeight="1" x14ac:dyDescent="0.25">
      <c r="A146" s="735"/>
      <c r="B146" s="736"/>
      <c r="C146" s="120" t="str">
        <f>'натур показатели патриотика'!C120</f>
        <v>изготовление плакетки, печать дипломов, изготовление значков</v>
      </c>
      <c r="D146" s="69" t="str">
        <f>'натур показатели патриотика'!D120</f>
        <v>договор</v>
      </c>
      <c r="E146" s="181">
        <f>'таланты+инициативы'!D267</f>
        <v>0.26300000000000001</v>
      </c>
    </row>
    <row r="147" spans="1:5" ht="12" customHeight="1" x14ac:dyDescent="0.25">
      <c r="A147" s="735"/>
      <c r="B147" s="736"/>
      <c r="C147" s="120" t="str">
        <f>'натур показатели патриотика'!C121</f>
        <v xml:space="preserve">Обслуживание систем пожарной сигнализации  </v>
      </c>
      <c r="D147" s="69" t="str">
        <f>'натур показатели патриотика'!D121</f>
        <v>договор</v>
      </c>
      <c r="E147" s="181">
        <f>'таланты+инициативы'!D268</f>
        <v>0.26300000000000001</v>
      </c>
    </row>
    <row r="148" spans="1:5" ht="28.15" customHeight="1" x14ac:dyDescent="0.25">
      <c r="A148" s="735"/>
      <c r="B148" s="736"/>
      <c r="C148" s="120" t="str">
        <f>'натур показатели патриотика'!C122</f>
        <v xml:space="preserve">Обслуживание систем видеонаблюдения </v>
      </c>
      <c r="D148" s="69" t="str">
        <f>'натур показатели патриотика'!D122</f>
        <v>договор</v>
      </c>
      <c r="E148" s="181">
        <f>'таланты+инициативы'!D269</f>
        <v>3.1560000000000001</v>
      </c>
    </row>
    <row r="149" spans="1:5" ht="28.15" customHeight="1" x14ac:dyDescent="0.25">
      <c r="A149" s="735"/>
      <c r="B149" s="736"/>
      <c r="C149" s="120" t="str">
        <f>'натур показатели патриотика'!C123</f>
        <v>Предрейсовое медицинское обследование 247дней*90руб</v>
      </c>
      <c r="D149" s="69" t="str">
        <f>'натур показатели патриотика'!D123</f>
        <v>договор</v>
      </c>
      <c r="E149" s="181">
        <f>'таланты+инициативы'!D270</f>
        <v>0.26300000000000001</v>
      </c>
    </row>
    <row r="150" spans="1:5" ht="28.15" customHeight="1" x14ac:dyDescent="0.25">
      <c r="A150" s="735"/>
      <c r="B150" s="736"/>
      <c r="C150" s="120" t="str">
        <f>'натур показатели патриотика'!C124</f>
        <v xml:space="preserve">Услуги охраны  </v>
      </c>
      <c r="D150" s="69" t="str">
        <f>'натур показатели патриотика'!D124</f>
        <v>договор</v>
      </c>
      <c r="E150" s="181">
        <f>'таланты+инициативы'!D271</f>
        <v>3.1560000000000001</v>
      </c>
    </row>
    <row r="151" spans="1:5" ht="28.15" customHeight="1" x14ac:dyDescent="0.25">
      <c r="A151" s="735"/>
      <c r="B151" s="736"/>
      <c r="C151" s="120" t="str">
        <f>'натур показатели патриотика'!C125</f>
        <v>Обслуживание систем охранных средств сигнализации (тревожная кнопка)</v>
      </c>
      <c r="D151" s="69" t="str">
        <f>'натур показатели патриотика'!D125</f>
        <v>договор</v>
      </c>
      <c r="E151" s="181">
        <f>'таланты+инициативы'!D272</f>
        <v>3.1560000000000001</v>
      </c>
    </row>
    <row r="152" spans="1:5" ht="25.15" customHeight="1" x14ac:dyDescent="0.25">
      <c r="A152" s="735"/>
      <c r="B152" s="736"/>
      <c r="C152" s="120" t="str">
        <f>'натур показатели патриотика'!C126</f>
        <v>Организация светового сопровождения мероприятия</v>
      </c>
      <c r="D152" s="69" t="str">
        <f>'натур показатели патриотика'!D126</f>
        <v>договор</v>
      </c>
      <c r="E152" s="181">
        <f>'таланты+инициативы'!D273</f>
        <v>0.26300000000000001</v>
      </c>
    </row>
    <row r="153" spans="1:5" ht="40.15" customHeight="1" x14ac:dyDescent="0.25">
      <c r="A153" s="735"/>
      <c r="B153" s="736"/>
      <c r="C153" s="120" t="str">
        <f>'натур показатели патриотика'!C127</f>
        <v xml:space="preserve">прохождение мед осмотра при устройстве на работу </v>
      </c>
      <c r="D153" s="69" t="str">
        <f>'натур показатели патриотика'!D127</f>
        <v>договор</v>
      </c>
      <c r="E153" s="181">
        <f>'таланты+инициативы'!D274</f>
        <v>1.052</v>
      </c>
    </row>
    <row r="154" spans="1:5" ht="22.9" customHeight="1" x14ac:dyDescent="0.25">
      <c r="A154" s="735"/>
      <c r="B154" s="736"/>
      <c r="C154" s="120" t="str">
        <f>'натур показатели патриотика'!C128</f>
        <v>Прохождение предварительного мед осмотра</v>
      </c>
      <c r="D154" s="69" t="str">
        <f>'натур показатели патриотика'!D128</f>
        <v>договор</v>
      </c>
      <c r="E154" s="181">
        <f>'таланты+инициативы'!D275</f>
        <v>0.26300000000000001</v>
      </c>
    </row>
    <row r="155" spans="1:5" ht="22.9" customHeight="1" x14ac:dyDescent="0.25">
      <c r="A155" s="735"/>
      <c r="B155" s="736"/>
      <c r="C155" s="120" t="str">
        <f>'натур показатели патриотика'!C129</f>
        <v>Организация питания воинов-интернационалистов</v>
      </c>
      <c r="D155" s="69" t="str">
        <f>'натур показатели патриотика'!D129</f>
        <v>договор</v>
      </c>
      <c r="E155" s="181">
        <f>'таланты+инициативы'!D276</f>
        <v>0.26300000000000001</v>
      </c>
    </row>
    <row r="156" spans="1:5" ht="22.9" customHeight="1" x14ac:dyDescent="0.25">
      <c r="A156" s="735"/>
      <c r="B156" s="736"/>
      <c r="C156" s="120" t="str">
        <f>'натур показатели патриотика'!C130</f>
        <v>Мед осмотр водителя</v>
      </c>
      <c r="D156" s="69" t="str">
        <f>'натур показатели патриотика'!D130</f>
        <v>договор</v>
      </c>
      <c r="E156" s="181">
        <f>'таланты+инициативы'!D277</f>
        <v>0.26300000000000001</v>
      </c>
    </row>
    <row r="157" spans="1:5" ht="23.45" customHeight="1" x14ac:dyDescent="0.25">
      <c r="A157" s="735"/>
      <c r="B157" s="736"/>
      <c r="C157" s="120" t="str">
        <f>'натур показатели патриотика'!C131</f>
        <v>Страховая премия по полису ОСАГО за УАЗ</v>
      </c>
      <c r="D157" s="69" t="str">
        <f>'натур показатели патриотика'!D131</f>
        <v>договор</v>
      </c>
      <c r="E157" s="181">
        <f>'таланты+инициативы'!D278</f>
        <v>0.26300000000000001</v>
      </c>
    </row>
    <row r="158" spans="1:5" ht="22.15" customHeight="1" x14ac:dyDescent="0.25">
      <c r="A158" s="735"/>
      <c r="B158" s="736"/>
      <c r="C158" s="120" t="str">
        <f>'натур показатели патриотика'!C132</f>
        <v>Microsoft Windows</v>
      </c>
      <c r="D158" s="69" t="str">
        <f>'натур показатели патриотика'!D132</f>
        <v>договор</v>
      </c>
      <c r="E158" s="181">
        <f>'таланты+инициативы'!D279</f>
        <v>1.8410000000000002</v>
      </c>
    </row>
    <row r="159" spans="1:5" ht="18.600000000000001" customHeight="1" x14ac:dyDescent="0.25">
      <c r="A159" s="735"/>
      <c r="B159" s="736"/>
      <c r="C159" s="120" t="str">
        <f>'натур показатели патриотика'!C133</f>
        <v>Microsoft Offise</v>
      </c>
      <c r="D159" s="69" t="str">
        <f>'натур показатели патриотика'!D133</f>
        <v>договор</v>
      </c>
      <c r="E159" s="181">
        <f>'таланты+инициативы'!D280</f>
        <v>0.52600000000000002</v>
      </c>
    </row>
    <row r="160" spans="1:5" ht="12" customHeight="1" x14ac:dyDescent="0.25">
      <c r="A160" s="735"/>
      <c r="B160" s="736"/>
      <c r="C160" s="120" t="str">
        <f>'натур показатели патриотика'!C134</f>
        <v>Dr Web Security</v>
      </c>
      <c r="D160" s="69" t="str">
        <f>'натур показатели патриотика'!D134</f>
        <v>договор</v>
      </c>
      <c r="E160" s="181">
        <f>'таланты+инициативы'!D281</f>
        <v>0.26300000000000001</v>
      </c>
    </row>
    <row r="161" spans="1:5" ht="14.45" customHeight="1" x14ac:dyDescent="0.25">
      <c r="A161" s="735"/>
      <c r="B161" s="736"/>
      <c r="C161" s="120" t="str">
        <f>'натур показатели патриотика'!C135</f>
        <v>Dr Web Security Spase</v>
      </c>
      <c r="D161" s="69" t="str">
        <f>'натур показатели патриотика'!D135</f>
        <v>договор</v>
      </c>
      <c r="E161" s="181">
        <f>'таланты+инициативы'!D282</f>
        <v>0.26300000000000001</v>
      </c>
    </row>
    <row r="162" spans="1:5" ht="24.6" customHeight="1" x14ac:dyDescent="0.25">
      <c r="A162" s="735"/>
      <c r="B162" s="736"/>
      <c r="C162" s="120" t="str">
        <f>'натур показатели патриотика'!C136</f>
        <v>Оплата гос пошлины</v>
      </c>
      <c r="D162" s="69" t="str">
        <f>'натур показатели патриотика'!D136</f>
        <v>ед</v>
      </c>
      <c r="E162" s="181">
        <f>'таланты+инициативы'!D283</f>
        <v>0.26300000000000001</v>
      </c>
    </row>
    <row r="163" spans="1:5" ht="12" customHeight="1" x14ac:dyDescent="0.25">
      <c r="A163" s="735"/>
      <c r="B163" s="736"/>
      <c r="C163" s="120" t="str">
        <f>'натур показатели патриотика'!C137</f>
        <v xml:space="preserve">Оплата за негативное воздействие </v>
      </c>
      <c r="D163" s="69" t="str">
        <f>'натур показатели патриотика'!D137</f>
        <v>ед</v>
      </c>
      <c r="E163" s="181">
        <f>'таланты+инициативы'!D284</f>
        <v>0.26300000000000001</v>
      </c>
    </row>
    <row r="164" spans="1:5" ht="12" customHeight="1" x14ac:dyDescent="0.25">
      <c r="A164" s="735"/>
      <c r="B164" s="736"/>
      <c r="C164" s="120" t="str">
        <f>'натур показатели патриотика'!C138</f>
        <v>ПУГНП</v>
      </c>
      <c r="D164" s="69" t="str">
        <f>'натур показатели патриотика'!D138</f>
        <v>шт</v>
      </c>
      <c r="E164" s="181">
        <f>'таланты+инициативы'!D285</f>
        <v>13.15</v>
      </c>
    </row>
    <row r="165" spans="1:5" ht="12" customHeight="1" x14ac:dyDescent="0.25">
      <c r="A165" s="735"/>
      <c r="B165" s="736"/>
      <c r="C165" s="120" t="str">
        <f>'натур показатели патриотика'!C139</f>
        <v>пакет майка</v>
      </c>
      <c r="D165" s="69" t="str">
        <f>'натур показатели патриотика'!D139</f>
        <v>шт</v>
      </c>
      <c r="E165" s="181">
        <f>'таланты+инициативы'!D286</f>
        <v>0.26300000000000001</v>
      </c>
    </row>
    <row r="166" spans="1:5" ht="12" customHeight="1" x14ac:dyDescent="0.25">
      <c r="A166" s="735"/>
      <c r="B166" s="736"/>
      <c r="C166" s="120" t="str">
        <f>'натур показатели патриотика'!C140</f>
        <v>розетка</v>
      </c>
      <c r="D166" s="69" t="str">
        <f>'натур показатели патриотика'!D140</f>
        <v>шт</v>
      </c>
      <c r="E166" s="181">
        <f>'таланты+инициативы'!D287</f>
        <v>1.3149999999999999</v>
      </c>
    </row>
    <row r="167" spans="1:5" ht="12" customHeight="1" x14ac:dyDescent="0.25">
      <c r="A167" s="735"/>
      <c r="B167" s="736"/>
      <c r="C167" s="120" t="str">
        <f>'натур показатели патриотика'!C141</f>
        <v>Вилка евро</v>
      </c>
      <c r="D167" s="69" t="str">
        <f>'натур показатели патриотика'!D141</f>
        <v>шт</v>
      </c>
      <c r="E167" s="181">
        <f>'таланты+инициативы'!D288</f>
        <v>1.3149999999999999</v>
      </c>
    </row>
    <row r="168" spans="1:5" ht="11.25" customHeight="1" x14ac:dyDescent="0.25">
      <c r="A168" s="735"/>
      <c r="B168" s="736"/>
      <c r="C168" s="120" t="str">
        <f>'натур показатели патриотика'!C142</f>
        <v>розетка "Пралеска"</v>
      </c>
      <c r="D168" s="69" t="str">
        <f>'натур показатели патриотика'!D142</f>
        <v>шт</v>
      </c>
      <c r="E168" s="181">
        <f>'таланты+инициативы'!D289</f>
        <v>0.78900000000000003</v>
      </c>
    </row>
    <row r="169" spans="1:5" ht="15" customHeight="1" x14ac:dyDescent="0.25">
      <c r="A169" s="735"/>
      <c r="B169" s="736"/>
      <c r="C169" s="120" t="str">
        <f>'натур показатели патриотика'!C143</f>
        <v>лампа "Онлайт"</v>
      </c>
      <c r="D169" s="69" t="str">
        <f>'натур показатели патриотика'!D143</f>
        <v>шт</v>
      </c>
      <c r="E169" s="181">
        <f>'таланты+инициативы'!D290</f>
        <v>6.8380000000000001</v>
      </c>
    </row>
    <row r="170" spans="1:5" ht="12" customHeight="1" x14ac:dyDescent="0.25">
      <c r="A170" s="735"/>
      <c r="B170" s="736"/>
      <c r="C170" s="120" t="str">
        <f>'натур показатели патриотика'!C144</f>
        <v>пугнп</v>
      </c>
      <c r="D170" s="69" t="str">
        <f>'натур показатели патриотика'!D144</f>
        <v>шт</v>
      </c>
      <c r="E170" s="181">
        <f>'таланты+инициативы'!D291</f>
        <v>1.8410000000000002</v>
      </c>
    </row>
    <row r="171" spans="1:5" ht="12" customHeight="1" x14ac:dyDescent="0.25">
      <c r="A171" s="735"/>
      <c r="B171" s="736"/>
      <c r="C171" s="120" t="str">
        <f>'натур показатели патриотика'!C145</f>
        <v>светильник точечный</v>
      </c>
      <c r="D171" s="69" t="str">
        <f>'натур показатели патриотика'!D145</f>
        <v>шт</v>
      </c>
      <c r="E171" s="181">
        <f>'таланты+инициативы'!D292</f>
        <v>2.63</v>
      </c>
    </row>
    <row r="172" spans="1:5" ht="12" customHeight="1" x14ac:dyDescent="0.25">
      <c r="A172" s="735"/>
      <c r="B172" s="736"/>
      <c r="C172" s="120" t="str">
        <f>'натур показатели патриотика'!C146</f>
        <v>светильник точечный</v>
      </c>
      <c r="D172" s="69" t="str">
        <f>'натур показатели патриотика'!D146</f>
        <v>шт</v>
      </c>
      <c r="E172" s="181">
        <f>'таланты+инициативы'!D293</f>
        <v>2.63</v>
      </c>
    </row>
    <row r="173" spans="1:5" ht="12" customHeight="1" x14ac:dyDescent="0.25">
      <c r="A173" s="735"/>
      <c r="B173" s="736"/>
      <c r="C173" s="120" t="str">
        <f>'натур показатели патриотика'!C147</f>
        <v>светильник точечный</v>
      </c>
      <c r="D173" s="69" t="str">
        <f>'натур показатели патриотика'!D147</f>
        <v>шт</v>
      </c>
      <c r="E173" s="181">
        <f>'таланты+инициативы'!D294</f>
        <v>1.5780000000000001</v>
      </c>
    </row>
    <row r="174" spans="1:5" ht="12" customHeight="1" x14ac:dyDescent="0.25">
      <c r="A174" s="735"/>
      <c r="B174" s="736"/>
      <c r="C174" s="120" t="str">
        <f>'натур показатели патриотика'!C148</f>
        <v>эмаль аэрозоль</v>
      </c>
      <c r="D174" s="69" t="str">
        <f>'натур показатели патриотика'!D148</f>
        <v>шт</v>
      </c>
      <c r="E174" s="181">
        <f>'таланты+инициативы'!D295</f>
        <v>0.52600000000000002</v>
      </c>
    </row>
    <row r="175" spans="1:5" ht="12" customHeight="1" x14ac:dyDescent="0.25">
      <c r="A175" s="735"/>
      <c r="B175" s="736"/>
      <c r="C175" s="120" t="str">
        <f>'натур показатели патриотика'!C149</f>
        <v>пила сегментная</v>
      </c>
      <c r="D175" s="69" t="str">
        <f>'натур показатели патриотика'!D149</f>
        <v>шт</v>
      </c>
      <c r="E175" s="181">
        <f>'таланты+инициативы'!D296</f>
        <v>0.26300000000000001</v>
      </c>
    </row>
    <row r="176" spans="1:5" ht="12" customHeight="1" x14ac:dyDescent="0.25">
      <c r="A176" s="735"/>
      <c r="B176" s="736"/>
      <c r="C176" s="120" t="str">
        <f>'натур показатели патриотика'!C150</f>
        <v>комплект крепежей для батареи</v>
      </c>
      <c r="D176" s="69" t="str">
        <f>'натур показатели патриотика'!D150</f>
        <v>шт</v>
      </c>
      <c r="E176" s="181">
        <f>'таланты+инициативы'!D297</f>
        <v>0.78900000000000003</v>
      </c>
    </row>
    <row r="177" spans="1:5" ht="12" customHeight="1" x14ac:dyDescent="0.25">
      <c r="A177" s="735"/>
      <c r="B177" s="736"/>
      <c r="C177" s="120" t="str">
        <f>'натур показатели патриотика'!C151</f>
        <v>набор для радиатора</v>
      </c>
      <c r="D177" s="69" t="str">
        <f>'натур показатели патриотика'!D151</f>
        <v>шт</v>
      </c>
      <c r="E177" s="181">
        <f>'таланты+инициативы'!D298</f>
        <v>0.78900000000000003</v>
      </c>
    </row>
    <row r="178" spans="1:5" ht="12" customHeight="1" x14ac:dyDescent="0.25">
      <c r="A178" s="735"/>
      <c r="B178" s="736"/>
      <c r="C178" s="120" t="str">
        <f>'натур показатели патриотика'!C152</f>
        <v>лампа "Онлайт"</v>
      </c>
      <c r="D178" s="69" t="str">
        <f>'натур показатели патриотика'!D152</f>
        <v>шт</v>
      </c>
      <c r="E178" s="181">
        <f>'таланты+инициативы'!D299</f>
        <v>1.3149999999999999</v>
      </c>
    </row>
    <row r="179" spans="1:5" ht="12" customHeight="1" x14ac:dyDescent="0.25">
      <c r="A179" s="735"/>
      <c r="B179" s="736"/>
      <c r="C179" s="120" t="str">
        <f>'натур показатели патриотика'!C153</f>
        <v>Прожектор светодиодный</v>
      </c>
      <c r="D179" s="69" t="str">
        <f>'натур показатели патриотика'!D153</f>
        <v>шт</v>
      </c>
      <c r="E179" s="181">
        <f>'таланты+инициативы'!D300</f>
        <v>0.52600000000000002</v>
      </c>
    </row>
    <row r="180" spans="1:5" ht="12" customHeight="1" x14ac:dyDescent="0.25">
      <c r="A180" s="735"/>
      <c r="B180" s="736"/>
      <c r="C180" s="120" t="str">
        <f>'натур показатели патриотика'!C154</f>
        <v>скотч 48 мм</v>
      </c>
      <c r="D180" s="69" t="str">
        <f>'натур показатели патриотика'!D154</f>
        <v>шт</v>
      </c>
      <c r="E180" s="181">
        <f>'таланты+инициативы'!D301</f>
        <v>3.1560000000000001</v>
      </c>
    </row>
    <row r="181" spans="1:5" ht="12" customHeight="1" x14ac:dyDescent="0.25">
      <c r="A181" s="735"/>
      <c r="B181" s="736"/>
      <c r="C181" s="120" t="str">
        <f>'натур показатели патриотика'!C155</f>
        <v>скотч армированный</v>
      </c>
      <c r="D181" s="69" t="str">
        <f>'натур показатели патриотика'!D155</f>
        <v>шт</v>
      </c>
      <c r="E181" s="181">
        <f>'таланты+инициативы'!D302</f>
        <v>0.52600000000000002</v>
      </c>
    </row>
    <row r="182" spans="1:5" ht="12" customHeight="1" x14ac:dyDescent="0.25">
      <c r="A182" s="735"/>
      <c r="B182" s="736"/>
      <c r="C182" s="120" t="str">
        <f>'натур показатели патриотика'!C156</f>
        <v>эмаль аэрозоль металлик</v>
      </c>
      <c r="D182" s="69" t="str">
        <f>'натур показатели патриотика'!D156</f>
        <v>шт</v>
      </c>
      <c r="E182" s="181">
        <f>'таланты+инициативы'!D303</f>
        <v>0.26300000000000001</v>
      </c>
    </row>
    <row r="183" spans="1:5" ht="12" customHeight="1" x14ac:dyDescent="0.25">
      <c r="A183" s="735"/>
      <c r="B183" s="736"/>
      <c r="C183" s="120" t="str">
        <f>'натур показатели патриотика'!C157</f>
        <v>эмаль аэрозоль коричн</v>
      </c>
      <c r="D183" s="69" t="str">
        <f>'натур показатели патриотика'!D157</f>
        <v>шт</v>
      </c>
      <c r="E183" s="181">
        <f>'таланты+инициативы'!D304</f>
        <v>0.26300000000000001</v>
      </c>
    </row>
    <row r="184" spans="1:5" ht="12" customHeight="1" x14ac:dyDescent="0.25">
      <c r="A184" s="735"/>
      <c r="B184" s="736"/>
      <c r="C184" s="120" t="str">
        <f>'натур показатели патриотика'!C158</f>
        <v>эмаль разн цвет</v>
      </c>
      <c r="D184" s="69" t="str">
        <f>'натур показатели патриотика'!D158</f>
        <v>шт</v>
      </c>
      <c r="E184" s="181">
        <f>'таланты+инициативы'!D305</f>
        <v>1.052</v>
      </c>
    </row>
    <row r="185" spans="1:5" ht="12" customHeight="1" x14ac:dyDescent="0.25">
      <c r="A185" s="735"/>
      <c r="B185" s="736"/>
      <c r="C185" s="120" t="str">
        <f>'натур показатели патриотика'!C159</f>
        <v>скоба</v>
      </c>
      <c r="D185" s="69" t="str">
        <f>'натур показатели патриотика'!D159</f>
        <v>шт</v>
      </c>
      <c r="E185" s="181">
        <f>'таланты+инициативы'!D306</f>
        <v>1.3149999999999999</v>
      </c>
    </row>
    <row r="186" spans="1:5" ht="12" customHeight="1" x14ac:dyDescent="0.25">
      <c r="A186" s="735"/>
      <c r="B186" s="736"/>
      <c r="C186" s="120" t="str">
        <f>'натур показатели патриотика'!C160</f>
        <v>стяжка для провода</v>
      </c>
      <c r="D186" s="69" t="str">
        <f>'натур показатели патриотика'!D160</f>
        <v>шт</v>
      </c>
      <c r="E186" s="181">
        <f>'таланты+инициативы'!D307</f>
        <v>0.52600000000000002</v>
      </c>
    </row>
    <row r="187" spans="1:5" ht="12" customHeight="1" x14ac:dyDescent="0.25">
      <c r="A187" s="735"/>
      <c r="B187" s="736"/>
      <c r="C187" s="120" t="str">
        <f>'натур показатели патриотика'!C161</f>
        <v>стяжка для провода</v>
      </c>
      <c r="D187" s="69" t="str">
        <f>'натур показатели патриотика'!D161</f>
        <v>шт</v>
      </c>
      <c r="E187" s="181">
        <f>'таланты+инициативы'!D308</f>
        <v>0.52600000000000002</v>
      </c>
    </row>
    <row r="188" spans="1:5" ht="12" customHeight="1" x14ac:dyDescent="0.25">
      <c r="A188" s="735"/>
      <c r="B188" s="736"/>
      <c r="C188" s="120" t="str">
        <f>'натур показатели патриотика'!C162</f>
        <v>дюбель</v>
      </c>
      <c r="D188" s="69" t="str">
        <f>'натур показатели патриотика'!D162</f>
        <v>шт</v>
      </c>
      <c r="E188" s="181">
        <f>'таланты+инициативы'!D309</f>
        <v>52.337000000000003</v>
      </c>
    </row>
    <row r="189" spans="1:5" ht="12" customHeight="1" x14ac:dyDescent="0.25">
      <c r="A189" s="735"/>
      <c r="B189" s="736"/>
      <c r="C189" s="120" t="str">
        <f>'натур показатели патриотика'!C163</f>
        <v>бокорезы</v>
      </c>
      <c r="D189" s="69" t="str">
        <f>'натур показатели патриотика'!D163</f>
        <v>шт</v>
      </c>
      <c r="E189" s="181">
        <f>'таланты+инициативы'!D310</f>
        <v>0.26300000000000001</v>
      </c>
    </row>
    <row r="190" spans="1:5" ht="12" customHeight="1" x14ac:dyDescent="0.25">
      <c r="A190" s="735"/>
      <c r="B190" s="736"/>
      <c r="C190" s="120" t="str">
        <f>'натур показатели патриотика'!C164</f>
        <v>плоскогубцы</v>
      </c>
      <c r="D190" s="69" t="str">
        <f>'натур показатели патриотика'!D164</f>
        <v>шт</v>
      </c>
      <c r="E190" s="181">
        <f>'таланты+инициативы'!D311</f>
        <v>0.26300000000000001</v>
      </c>
    </row>
    <row r="191" spans="1:5" ht="12" customHeight="1" x14ac:dyDescent="0.25">
      <c r="A191" s="735"/>
      <c r="B191" s="736"/>
      <c r="C191" s="120" t="str">
        <f>'натур показатели патриотика'!C165</f>
        <v>бита</v>
      </c>
      <c r="D191" s="69" t="str">
        <f>'натур показатели патриотика'!D165</f>
        <v>шт</v>
      </c>
      <c r="E191" s="181">
        <f>'таланты+инициативы'!D312</f>
        <v>0.26300000000000001</v>
      </c>
    </row>
    <row r="192" spans="1:5" ht="12" customHeight="1" x14ac:dyDescent="0.25">
      <c r="A192" s="735"/>
      <c r="B192" s="736"/>
      <c r="C192" s="120" t="str">
        <f>'натур показатели патриотика'!C166</f>
        <v>бита</v>
      </c>
      <c r="D192" s="69" t="str">
        <f>'натур показатели патриотика'!D166</f>
        <v>шт</v>
      </c>
      <c r="E192" s="181">
        <f>'таланты+инициативы'!D313</f>
        <v>0.26300000000000001</v>
      </c>
    </row>
    <row r="193" spans="1:5" ht="12" customHeight="1" x14ac:dyDescent="0.25">
      <c r="A193" s="735"/>
      <c r="B193" s="736"/>
      <c r="C193" s="120" t="str">
        <f>'натур показатели патриотика'!C167</f>
        <v>угольник</v>
      </c>
      <c r="D193" s="69" t="str">
        <f>'натур показатели патриотика'!D167</f>
        <v>шт</v>
      </c>
      <c r="E193" s="181">
        <f>'таланты+инициативы'!D314</f>
        <v>0.26300000000000001</v>
      </c>
    </row>
    <row r="194" spans="1:5" ht="12" customHeight="1" x14ac:dyDescent="0.25">
      <c r="A194" s="735"/>
      <c r="B194" s="736"/>
      <c r="C194" s="120" t="str">
        <f>'натур показатели патриотика'!C168</f>
        <v>угольник</v>
      </c>
      <c r="D194" s="69" t="str">
        <f>'натур показатели патриотика'!D168</f>
        <v>шт</v>
      </c>
      <c r="E194" s="181">
        <f>'таланты+инициативы'!D315</f>
        <v>0.26300000000000001</v>
      </c>
    </row>
    <row r="195" spans="1:5" ht="12" customHeight="1" x14ac:dyDescent="0.25">
      <c r="A195" s="735"/>
      <c r="B195" s="736"/>
      <c r="C195" s="120" t="str">
        <f>'натур показатели патриотика'!C169</f>
        <v>штангенциркуль</v>
      </c>
      <c r="D195" s="69" t="str">
        <f>'натур показатели патриотика'!D169</f>
        <v>шт</v>
      </c>
      <c r="E195" s="181">
        <f>'таланты+инициативы'!D316</f>
        <v>0.26300000000000001</v>
      </c>
    </row>
    <row r="196" spans="1:5" ht="12" customHeight="1" x14ac:dyDescent="0.25">
      <c r="A196" s="735"/>
      <c r="B196" s="736"/>
      <c r="C196" s="120" t="str">
        <f>'натур показатели патриотика'!C170</f>
        <v>пугнп 2*1,5</v>
      </c>
      <c r="D196" s="69" t="str">
        <f>'натур показатели патриотика'!D170</f>
        <v>шт</v>
      </c>
      <c r="E196" s="181">
        <f>'таланты+инициативы'!D317</f>
        <v>52.6</v>
      </c>
    </row>
    <row r="197" spans="1:5" ht="12" customHeight="1" x14ac:dyDescent="0.25">
      <c r="A197" s="735"/>
      <c r="B197" s="736"/>
      <c r="C197" s="120" t="str">
        <f>'натур показатели патриотика'!C171</f>
        <v>пугнп 2*2,5</v>
      </c>
      <c r="D197" s="69" t="str">
        <f>'натур показатели патриотика'!D171</f>
        <v>шт</v>
      </c>
      <c r="E197" s="181">
        <f>'таланты+инициативы'!D318</f>
        <v>52.6</v>
      </c>
    </row>
    <row r="198" spans="1:5" ht="12" customHeight="1" x14ac:dyDescent="0.25">
      <c r="A198" s="735"/>
      <c r="B198" s="736"/>
      <c r="C198" s="120" t="str">
        <f>'натур показатели патриотика'!C172</f>
        <v>зажимы</v>
      </c>
      <c r="D198" s="69" t="str">
        <f>'натур показатели патриотика'!D172</f>
        <v>шт</v>
      </c>
      <c r="E198" s="181">
        <f>'таланты+инициативы'!D319</f>
        <v>1.3149999999999999</v>
      </c>
    </row>
    <row r="199" spans="1:5" ht="12" customHeight="1" x14ac:dyDescent="0.25">
      <c r="A199" s="735"/>
      <c r="B199" s="736"/>
      <c r="C199" s="120" t="str">
        <f>'натур показатели патриотика'!C173</f>
        <v>коробка установочная</v>
      </c>
      <c r="D199" s="69" t="str">
        <f>'натур показатели патриотика'!D173</f>
        <v>шт</v>
      </c>
      <c r="E199" s="181">
        <f>'таланты+инициативы'!D320</f>
        <v>2.63</v>
      </c>
    </row>
    <row r="200" spans="1:5" ht="12" customHeight="1" x14ac:dyDescent="0.25">
      <c r="A200" s="735"/>
      <c r="B200" s="736"/>
      <c r="C200" s="120" t="str">
        <f>'натур показатели патриотика'!C174</f>
        <v>розетка</v>
      </c>
      <c r="D200" s="69" t="str">
        <f>'натур показатели патриотика'!D174</f>
        <v>шт</v>
      </c>
      <c r="E200" s="181">
        <f>'таланты+инициативы'!D321</f>
        <v>2.63</v>
      </c>
    </row>
    <row r="201" spans="1:5" ht="12" customHeight="1" x14ac:dyDescent="0.25">
      <c r="A201" s="735"/>
      <c r="B201" s="736"/>
      <c r="C201" s="120" t="str">
        <f>'натур показатели патриотика'!C175</f>
        <v>розетка</v>
      </c>
      <c r="D201" s="69" t="str">
        <f>'натур показатели патриотика'!D175</f>
        <v>шт</v>
      </c>
      <c r="E201" s="181">
        <f>'таланты+инициативы'!D322</f>
        <v>1.3149999999999999</v>
      </c>
    </row>
    <row r="202" spans="1:5" ht="12" customHeight="1" x14ac:dyDescent="0.25">
      <c r="A202" s="735"/>
      <c r="B202" s="736"/>
      <c r="C202" s="120" t="str">
        <f>'натур показатели патриотика'!C176</f>
        <v>вилка прямая</v>
      </c>
      <c r="D202" s="69" t="str">
        <f>'натур показатели патриотика'!D176</f>
        <v>шт</v>
      </c>
      <c r="E202" s="181">
        <f>'таланты+инициативы'!D323</f>
        <v>0.26300000000000001</v>
      </c>
    </row>
    <row r="203" spans="1:5" ht="12" customHeight="1" x14ac:dyDescent="0.25">
      <c r="A203" s="735"/>
      <c r="B203" s="736"/>
      <c r="C203" s="120" t="str">
        <f>'натур показатели патриотика'!C177</f>
        <v>вилка белая</v>
      </c>
      <c r="D203" s="69" t="str">
        <f>'натур показатели патриотика'!D177</f>
        <v>шт</v>
      </c>
      <c r="E203" s="181">
        <f>'таланты+инициативы'!D324</f>
        <v>1.052</v>
      </c>
    </row>
    <row r="204" spans="1:5" ht="12" customHeight="1" x14ac:dyDescent="0.25">
      <c r="A204" s="735"/>
      <c r="B204" s="736"/>
      <c r="C204" s="120" t="str">
        <f>'натур показатели патриотика'!C178</f>
        <v>саморез 3,5*51</v>
      </c>
      <c r="D204" s="69" t="str">
        <f>'натур показатели патриотика'!D178</f>
        <v>шт</v>
      </c>
      <c r="E204" s="181">
        <f>'таланты+инициативы'!D325</f>
        <v>191.99</v>
      </c>
    </row>
    <row r="205" spans="1:5" ht="12" customHeight="1" x14ac:dyDescent="0.25">
      <c r="A205" s="735"/>
      <c r="B205" s="736"/>
      <c r="C205" s="120" t="str">
        <f>'натур показатели патриотика'!C179</f>
        <v>саморез 4,2*70</v>
      </c>
      <c r="D205" s="69" t="str">
        <f>'натур показатели патриотика'!D179</f>
        <v>шт</v>
      </c>
      <c r="E205" s="181">
        <f>'таланты+инициативы'!D326</f>
        <v>236.70000000000002</v>
      </c>
    </row>
    <row r="206" spans="1:5" ht="12" customHeight="1" x14ac:dyDescent="0.25">
      <c r="A206" s="735"/>
      <c r="B206" s="736"/>
      <c r="C206" s="120" t="str">
        <f>'натур показатели патриотика'!C180</f>
        <v>набор пилок</v>
      </c>
      <c r="D206" s="69" t="str">
        <f>'натур показатели патриотика'!D180</f>
        <v>шт</v>
      </c>
      <c r="E206" s="181">
        <f>'таланты+инициативы'!D327</f>
        <v>0.78900000000000003</v>
      </c>
    </row>
    <row r="207" spans="1:5" ht="12" customHeight="1" x14ac:dyDescent="0.25">
      <c r="A207" s="735"/>
      <c r="B207" s="736"/>
      <c r="C207" s="120" t="str">
        <f>'натур показатели патриотика'!C181</f>
        <v>комплект радиатора</v>
      </c>
      <c r="D207" s="69" t="str">
        <f>'натур показатели патриотика'!D181</f>
        <v>шт</v>
      </c>
      <c r="E207" s="181">
        <f>'таланты+инициативы'!D328</f>
        <v>2.63</v>
      </c>
    </row>
    <row r="208" spans="1:5" ht="12" customHeight="1" x14ac:dyDescent="0.25">
      <c r="A208" s="735"/>
      <c r="B208" s="736"/>
      <c r="C208" s="120" t="str">
        <f>'натур показатели патриотика'!C182</f>
        <v>кран шаровый</v>
      </c>
      <c r="D208" s="69" t="str">
        <f>'натур показатели патриотика'!D182</f>
        <v>шт</v>
      </c>
      <c r="E208" s="181">
        <f>'таланты+инициативы'!D329</f>
        <v>5.26</v>
      </c>
    </row>
    <row r="209" spans="1:5" ht="12" customHeight="1" x14ac:dyDescent="0.25">
      <c r="A209" s="735"/>
      <c r="B209" s="736"/>
      <c r="C209" s="120" t="str">
        <f>'натур показатели патриотика'!C183</f>
        <v>Лопата</v>
      </c>
      <c r="D209" s="69" t="str">
        <f>'натур показатели патриотика'!D183</f>
        <v>шт</v>
      </c>
      <c r="E209" s="181">
        <f>'таланты+инициативы'!D330</f>
        <v>0.26300000000000001</v>
      </c>
    </row>
    <row r="210" spans="1:5" ht="12" customHeight="1" x14ac:dyDescent="0.25">
      <c r="A210" s="735"/>
      <c r="B210" s="736"/>
      <c r="C210" s="120" t="str">
        <f>'натур показатели патриотика'!C184</f>
        <v>Пружина</v>
      </c>
      <c r="D210" s="69" t="str">
        <f>'натур показатели патриотика'!D184</f>
        <v>шт</v>
      </c>
      <c r="E210" s="181">
        <f>'таланты+инициативы'!D331</f>
        <v>6.5750000000000002</v>
      </c>
    </row>
    <row r="211" spans="1:5" ht="12" customHeight="1" x14ac:dyDescent="0.25">
      <c r="A211" s="735"/>
      <c r="B211" s="736"/>
      <c r="C211" s="120" t="str">
        <f>'натур показатели патриотика'!C185</f>
        <v>смазка, мешки д/мусора, манжета</v>
      </c>
      <c r="D211" s="69" t="str">
        <f>'натур показатели патриотика'!D185</f>
        <v>шт</v>
      </c>
      <c r="E211" s="181">
        <f>'таланты+инициативы'!D332</f>
        <v>0.26300000000000001</v>
      </c>
    </row>
    <row r="212" spans="1:5" ht="12" customHeight="1" x14ac:dyDescent="0.25">
      <c r="A212" s="735"/>
      <c r="B212" s="736"/>
      <c r="C212" s="120" t="str">
        <f>'натур показатели патриотика'!C186</f>
        <v>ГСМ Дизтопливо</v>
      </c>
      <c r="D212" s="69" t="str">
        <f>'натур показатели патриотика'!D186</f>
        <v>шт</v>
      </c>
      <c r="E212" s="181">
        <f>'таланты+инициативы'!D333</f>
        <v>0.26300000000000001</v>
      </c>
    </row>
    <row r="213" spans="1:5" ht="12" customHeight="1" x14ac:dyDescent="0.25">
      <c r="A213" s="735"/>
      <c r="B213" s="736"/>
      <c r="C213" s="120" t="str">
        <f>'натур показатели патриотика'!C187</f>
        <v>ГСМ 12,1457л.*247дней*44,27 руб.</v>
      </c>
      <c r="D213" s="69" t="str">
        <f>'натур показатели патриотика'!D187</f>
        <v>шт</v>
      </c>
      <c r="E213" s="181">
        <f>'таланты+инициативы'!D334</f>
        <v>18.448923999999998</v>
      </c>
    </row>
    <row r="214" spans="1:5" ht="12" customHeight="1" x14ac:dyDescent="0.25">
      <c r="A214" s="735"/>
      <c r="B214" s="736"/>
      <c r="C214" s="120" t="str">
        <f>'натур показатели патриотика'!C188</f>
        <v>грабли, черенок, лопата</v>
      </c>
      <c r="D214" s="69" t="str">
        <f>'натур показатели патриотика'!D188</f>
        <v>шт</v>
      </c>
      <c r="E214" s="181">
        <f>'таланты+инициативы'!D335</f>
        <v>0.26300000000000001</v>
      </c>
    </row>
    <row r="215" spans="1:5" ht="12" customHeight="1" x14ac:dyDescent="0.25">
      <c r="A215" s="735"/>
      <c r="B215" s="736"/>
      <c r="C215" s="120" t="str">
        <f>'натур показатели патриотика'!C189</f>
        <v>Чехол для кресла-мешка</v>
      </c>
      <c r="D215" s="69" t="str">
        <f>'натур показатели патриотика'!D189</f>
        <v>шт</v>
      </c>
      <c r="E215" s="181">
        <f>'таланты+инициативы'!D336</f>
        <v>1.5780000000000001</v>
      </c>
    </row>
    <row r="216" spans="1:5" ht="12" customHeight="1" x14ac:dyDescent="0.25">
      <c r="A216" s="735"/>
      <c r="B216" s="736"/>
      <c r="C216" s="120" t="str">
        <f>'натур показатели патриотика'!C190</f>
        <v>Наполнитель для кресла-мешка</v>
      </c>
      <c r="D216" s="69" t="str">
        <f>'натур показатели патриотика'!D190</f>
        <v>шт</v>
      </c>
      <c r="E216" s="181">
        <f>'таланты+инициативы'!D337</f>
        <v>0.52600000000000002</v>
      </c>
    </row>
    <row r="217" spans="1:5" ht="12" customHeight="1" x14ac:dyDescent="0.25">
      <c r="A217" s="735"/>
      <c r="B217" s="736"/>
      <c r="C217" s="120" t="str">
        <f>'натур показатели патриотика'!C191</f>
        <v>Фотобумага IST глянцевая 100 листов односторонняя 230гр/м</v>
      </c>
      <c r="D217" s="69" t="str">
        <f>'натур показатели патриотика'!D191</f>
        <v>шт</v>
      </c>
      <c r="E217" s="181">
        <f>'таланты+инициативы'!D338</f>
        <v>2.63</v>
      </c>
    </row>
    <row r="218" spans="1:5" ht="12" customHeight="1" x14ac:dyDescent="0.25">
      <c r="A218" s="735"/>
      <c r="B218" s="736"/>
      <c r="C218" s="120" t="str">
        <f>'натур показатели патриотика'!C192</f>
        <v>Фотобумага IST глянцевая 100 листов односторонняя 180гр/м</v>
      </c>
      <c r="D218" s="69" t="str">
        <f>'натур показатели патриотика'!D192</f>
        <v>шт</v>
      </c>
      <c r="E218" s="181">
        <f>'таланты+инициативы'!D339</f>
        <v>2.63</v>
      </c>
    </row>
    <row r="219" spans="1:5" ht="12" customHeight="1" x14ac:dyDescent="0.25">
      <c r="A219" s="735"/>
      <c r="B219" s="736"/>
      <c r="C219" s="120" t="str">
        <f>'натур показатели патриотика'!C193</f>
        <v>Фотобумага IST глянцевая 100 листов односторонняя 190гр/м</v>
      </c>
      <c r="D219" s="69" t="str">
        <f>'натур показатели патриотика'!D193</f>
        <v>шт</v>
      </c>
      <c r="E219" s="181">
        <f>'таланты+инициативы'!D340</f>
        <v>5.26</v>
      </c>
    </row>
    <row r="220" spans="1:5" ht="12" customHeight="1" x14ac:dyDescent="0.25">
      <c r="A220" s="735"/>
      <c r="B220" s="736"/>
      <c r="C220" s="120" t="str">
        <f>'натур показатели патриотика'!C194</f>
        <v>Тонер ECOSYS</v>
      </c>
      <c r="D220" s="69" t="str">
        <f>'натур показатели патриотика'!D194</f>
        <v>шт</v>
      </c>
      <c r="E220" s="181">
        <f>'таланты+инициативы'!D341</f>
        <v>0.52600000000000002</v>
      </c>
    </row>
    <row r="221" spans="1:5" ht="12" customHeight="1" x14ac:dyDescent="0.25">
      <c r="A221" s="735"/>
      <c r="B221" s="736"/>
      <c r="C221" s="120" t="str">
        <f>'натур показатели патриотика'!C195</f>
        <v>Картридж НР С2Р42АЕ</v>
      </c>
      <c r="D221" s="69" t="str">
        <f>'натур показатели патриотика'!D195</f>
        <v>шт</v>
      </c>
      <c r="E221" s="181">
        <f>'таланты+инициативы'!D342</f>
        <v>0.52600000000000002</v>
      </c>
    </row>
    <row r="222" spans="1:5" ht="12" customHeight="1" x14ac:dyDescent="0.25">
      <c r="A222" s="735"/>
      <c r="B222" s="736"/>
      <c r="C222" s="120" t="str">
        <f>'натур показатели патриотика'!C196</f>
        <v>Аккумулятор X-TREME Arctik  78.1</v>
      </c>
      <c r="D222" s="69" t="str">
        <f>'натур показатели патриотика'!D196</f>
        <v>шт</v>
      </c>
      <c r="E222" s="181">
        <f>'таланты+инициативы'!D343</f>
        <v>0.26300000000000001</v>
      </c>
    </row>
    <row r="223" spans="1:5" ht="22.5" x14ac:dyDescent="0.25">
      <c r="A223" s="735"/>
      <c r="B223" s="736"/>
      <c r="C223" s="120" t="str">
        <f>'натур показатели патриотика'!C197</f>
        <v>Амортизатор УАЗ 3159 задн. TRIALLI газомасл.3159-2915006 (3159-2915006)</v>
      </c>
      <c r="D223" s="69" t="str">
        <f>'натур показатели патриотика'!D197</f>
        <v>шт</v>
      </c>
      <c r="E223" s="181">
        <f>'таланты+инициативы'!D344</f>
        <v>1.052</v>
      </c>
    </row>
    <row r="224" spans="1:5" x14ac:dyDescent="0.25">
      <c r="A224" s="735"/>
      <c r="B224" s="736"/>
      <c r="C224" s="120" t="str">
        <f>'натур показатели патриотика'!C198</f>
        <v>Болт М10*1*25 кардана УАЗ в/сб(уп. 20 шт)</v>
      </c>
      <c r="D224" s="69" t="str">
        <f>'натур показатели патриотика'!D198</f>
        <v>шт</v>
      </c>
      <c r="E224" s="181">
        <f>'таланты+инициативы'!D345</f>
        <v>4.2080000000000002</v>
      </c>
    </row>
    <row r="225" spans="1:5" ht="22.5" x14ac:dyDescent="0.25">
      <c r="A225" s="735"/>
      <c r="B225" s="736"/>
      <c r="C225" s="120" t="str">
        <f>'натур показатели патриотика'!C199</f>
        <v>Винт М8*1,25*12 потай шлиц.торм.барабана Волга Г-2410 290605 (290605-п29)</v>
      </c>
      <c r="D225" s="69" t="str">
        <f>'натур показатели патриотика'!D199</f>
        <v>шт</v>
      </c>
      <c r="E225" s="181">
        <f>'таланты+инициативы'!D346</f>
        <v>6.3120000000000003</v>
      </c>
    </row>
    <row r="226" spans="1:5" ht="22.5" x14ac:dyDescent="0.25">
      <c r="A226" s="735"/>
      <c r="B226" s="736"/>
      <c r="C226" s="120" t="str">
        <f>'натур показатели патриотика'!C200</f>
        <v>Вкладыш шкворня УАЗ-3160(латунь н/о 2 усика)3160 2304023-10 (3160 2304023-10)</v>
      </c>
      <c r="D226" s="69" t="str">
        <f>'натур показатели патриотика'!D200</f>
        <v>шт</v>
      </c>
      <c r="E226" s="181">
        <f>'таланты+инициативы'!D347</f>
        <v>2.1040000000000001</v>
      </c>
    </row>
    <row r="227" spans="1:5" x14ac:dyDescent="0.25">
      <c r="A227" s="735"/>
      <c r="B227" s="736"/>
      <c r="C227" s="120" t="str">
        <f>'натур показатели патриотика'!C201</f>
        <v>Втулка амортизатора Волга ,УАЗ полиуретан 451-2905432 (451-2905432)</v>
      </c>
      <c r="D227" s="69" t="str">
        <f>'натур показатели патриотика'!D201</f>
        <v>шт</v>
      </c>
      <c r="E227" s="181">
        <f>'таланты+инициативы'!D348</f>
        <v>5.26</v>
      </c>
    </row>
    <row r="228" spans="1:5" x14ac:dyDescent="0.25">
      <c r="A228" s="735"/>
      <c r="B228" s="736"/>
      <c r="C228" s="120" t="str">
        <f>'натур показатели патриотика'!C202</f>
        <v>Гайка колесная  М14*1,5 (18, ключ 22) Волга, Соболь, УАЗ</v>
      </c>
      <c r="D228" s="69" t="str">
        <f>'натур показатели патриотика'!D202</f>
        <v>шт</v>
      </c>
      <c r="E228" s="181">
        <f>'таланты+инициативы'!D349</f>
        <v>5.26</v>
      </c>
    </row>
    <row r="229" spans="1:5" x14ac:dyDescent="0.25">
      <c r="A229" s="735"/>
      <c r="B229" s="736"/>
      <c r="C229" s="120" t="str">
        <f>'натур показатели патриотика'!C203</f>
        <v>Катушка зажигания 405 дв.(АТЭ-1)3032.3705 (3032.3705)</v>
      </c>
      <c r="D229" s="69" t="str">
        <f>'натур показатели патриотика'!D203</f>
        <v>шт</v>
      </c>
      <c r="E229" s="181">
        <f>'таланты+инициативы'!D350</f>
        <v>1.052</v>
      </c>
    </row>
    <row r="230" spans="1:5" ht="22.5" x14ac:dyDescent="0.25">
      <c r="A230" s="735"/>
      <c r="B230" s="736"/>
      <c r="C230" s="120" t="str">
        <f>'натур показатели патриотика'!C204</f>
        <v>Колодка переднего тормоза (к-т 4 шт.)УАЗ Оригинал(ТИИР) 3163 3501088 (3163 3501088)</v>
      </c>
      <c r="D230" s="69" t="str">
        <f>'натур показатели патриотика'!D204</f>
        <v>шт</v>
      </c>
      <c r="E230" s="181">
        <f>'таланты+инициативы'!D351</f>
        <v>1.052</v>
      </c>
    </row>
    <row r="231" spans="1:5" x14ac:dyDescent="0.25">
      <c r="A231" s="735"/>
      <c r="B231" s="736"/>
      <c r="C231" s="120" t="str">
        <f>'натур показатели патриотика'!C205</f>
        <v>Кольцо крестовины карданного вала</v>
      </c>
      <c r="D231" s="69" t="str">
        <f>'натур показатели патриотика'!D205</f>
        <v>шт</v>
      </c>
      <c r="E231" s="181">
        <f>'таланты+инициативы'!D352</f>
        <v>2.1040000000000001</v>
      </c>
    </row>
    <row r="232" spans="1:5" ht="22.5" x14ac:dyDescent="0.25">
      <c r="A232" s="735"/>
      <c r="B232" s="736"/>
      <c r="C232" s="120" t="str">
        <f>'натур показатели патриотика'!C206</f>
        <v>Комплект ГРМ(полный)ЗМЗ 405-409 ЕВРО-3 "Идеальная фаза"(двухрядная цепь 72/92 Ditton)406.3906625-05 (406.3906625-05)</v>
      </c>
      <c r="D232" s="69" t="str">
        <f>'натур показатели патриотика'!D206</f>
        <v>шт</v>
      </c>
      <c r="E232" s="181">
        <f>'таланты+инициативы'!D353</f>
        <v>0.26300000000000001</v>
      </c>
    </row>
    <row r="233" spans="1:5" x14ac:dyDescent="0.25">
      <c r="A233" s="735"/>
      <c r="B233" s="736"/>
      <c r="C233" s="120" t="str">
        <f>'натур показатели патриотика'!C207</f>
        <v>Комплект прокладок на дв.4091 Саморим УАЗ 452</v>
      </c>
      <c r="D233" s="69" t="str">
        <f>'натур показатели патриотика'!D207</f>
        <v>шт</v>
      </c>
      <c r="E233" s="181">
        <f>'таланты+инициативы'!D354</f>
        <v>0.26300000000000001</v>
      </c>
    </row>
    <row r="234" spans="1:5" ht="22.5" x14ac:dyDescent="0.25">
      <c r="A234" s="735"/>
      <c r="B234" s="736"/>
      <c r="C234" s="120" t="str">
        <f>'натур показатели патриотика'!C208</f>
        <v>Крестовина кардан.вала УАЗ(АДС)с масленкой и стопорными кольцами 42000.0469-2201025-00 (ВК469-2201025)</v>
      </c>
      <c r="D234" s="69" t="str">
        <f>'натур показатели патриотика'!D208</f>
        <v>шт</v>
      </c>
      <c r="E234" s="181">
        <f>'таланты+инициативы'!D355</f>
        <v>1.052</v>
      </c>
    </row>
    <row r="235" spans="1:5" x14ac:dyDescent="0.25">
      <c r="A235" s="735"/>
      <c r="B235" s="736"/>
      <c r="C235" s="120" t="str">
        <f>'натур показатели патриотика'!C209</f>
        <v>Накладка педали сцепления УАЗ 2206</v>
      </c>
      <c r="D235" s="69" t="str">
        <f>'натур показатели патриотика'!D209</f>
        <v>шт</v>
      </c>
      <c r="E235" s="181">
        <f>'таланты+инициативы'!D356</f>
        <v>0.26300000000000001</v>
      </c>
    </row>
    <row r="236" spans="1:5" ht="22.5" x14ac:dyDescent="0.25">
      <c r="A236" s="735"/>
      <c r="B236" s="736"/>
      <c r="C236" s="120" t="str">
        <f>'натур показатели патриотика'!C210</f>
        <v>Наконечник рулевой тяги левый "АДС-Expert" 469-3414057-01 (469-3414057-01)</v>
      </c>
      <c r="D236" s="69" t="str">
        <f>'натур показатели патриотика'!D210</f>
        <v>шт</v>
      </c>
      <c r="E236" s="181">
        <f>'таланты+инициативы'!D357</f>
        <v>0.52600000000000002</v>
      </c>
    </row>
    <row r="237" spans="1:5" ht="22.5" x14ac:dyDescent="0.25">
      <c r="A237" s="735"/>
      <c r="B237" s="736"/>
      <c r="C237" s="120" t="str">
        <f>'натур показатели патриотика'!C211</f>
        <v>Наконечник рулевой тяги правый "АДС-Expert" 469-3414056-01 (469-3414056-01)</v>
      </c>
      <c r="D237" s="69" t="str">
        <f>'натур показатели патриотика'!D211</f>
        <v>шт</v>
      </c>
      <c r="E237" s="181">
        <f>'таланты+инициативы'!D358</f>
        <v>1.5780000000000001</v>
      </c>
    </row>
    <row r="238" spans="1:5" ht="22.5" x14ac:dyDescent="0.25">
      <c r="A238" s="735"/>
      <c r="B238" s="736"/>
      <c r="C238" s="120" t="str">
        <f>'натур показатели патриотика'!C212</f>
        <v>Патрубки радиатора УАЗ Патриот 409дв.без кондиционера(силикон)(к-т 3шт)</v>
      </c>
      <c r="D238" s="69" t="str">
        <f>'натур показатели патриотика'!D212</f>
        <v>шт</v>
      </c>
      <c r="E238" s="181">
        <f>'таланты+инициативы'!D359</f>
        <v>0.26300000000000001</v>
      </c>
    </row>
    <row r="239" spans="1:5" x14ac:dyDescent="0.25">
      <c r="A239" s="735"/>
      <c r="B239" s="736"/>
      <c r="C239" s="120" t="str">
        <f>'натур показатели патриотика'!C213</f>
        <v>Подшипник ступичный 127509</v>
      </c>
      <c r="D239" s="69" t="str">
        <f>'натур показатели патриотика'!D213</f>
        <v>шт</v>
      </c>
      <c r="E239" s="181">
        <f>'таланты+инициативы'!D360</f>
        <v>2.1040000000000001</v>
      </c>
    </row>
    <row r="240" spans="1:5" x14ac:dyDescent="0.25">
      <c r="A240" s="735"/>
      <c r="B240" s="736"/>
      <c r="C240" s="120" t="str">
        <f>'натур показатели патриотика'!C214</f>
        <v>Провода в/в 4091 дв.с наконеч.силикон.4091-3707244 (4091-3707244)</v>
      </c>
      <c r="D240" s="69" t="str">
        <f>'натур показатели патриотика'!D214</f>
        <v>шт</v>
      </c>
      <c r="E240" s="181">
        <f>'таланты+инициативы'!D361</f>
        <v>0.52600000000000002</v>
      </c>
    </row>
    <row r="241" spans="1:5" x14ac:dyDescent="0.25">
      <c r="A241" s="735"/>
      <c r="B241" s="736"/>
      <c r="C241" s="120" t="str">
        <f>'натур показатели патриотика'!C215</f>
        <v>Прокладка крышки полуоси(паронит)3151-2407048 (3151-2407048)</v>
      </c>
      <c r="D241" s="69" t="str">
        <f>'натур показатели патриотика'!D215</f>
        <v>шт</v>
      </c>
      <c r="E241" s="181">
        <f>'таланты+инициативы'!D362</f>
        <v>2.63</v>
      </c>
    </row>
    <row r="242" spans="1:5" ht="22.5" x14ac:dyDescent="0.25">
      <c r="A242" s="735"/>
      <c r="B242" s="736"/>
      <c r="C242" s="120" t="str">
        <f>'натур показатели патриотика'!C216</f>
        <v>Ремень (1275  мм 6РК) ЗМЗ-40524, 40525 ЕВРО -3 без ГУР "LUZAR" (40624 1308020-01)</v>
      </c>
      <c r="D242" s="69" t="str">
        <f>'натур показатели патриотика'!D216</f>
        <v>шт</v>
      </c>
      <c r="E242" s="181">
        <f>'таланты+инициативы'!D363</f>
        <v>0.78900000000000003</v>
      </c>
    </row>
    <row r="243" spans="1:5" ht="22.5" x14ac:dyDescent="0.25">
      <c r="A243" s="735"/>
      <c r="B243" s="736"/>
      <c r="C243" s="120" t="str">
        <f>'натур показатели патриотика'!C217</f>
        <v>Ремень 1195 - 6 РК привода ГУР "OLEX POLY V BELT"3163-00-1308020-02 (3163-00-1308020-02)</v>
      </c>
      <c r="D243" s="69" t="str">
        <f>'натур показатели патриотика'!D217</f>
        <v>шт</v>
      </c>
      <c r="E243" s="181">
        <f>'таланты+инициативы'!D364</f>
        <v>0.78900000000000003</v>
      </c>
    </row>
    <row r="244" spans="1:5" x14ac:dyDescent="0.25">
      <c r="A244" s="735"/>
      <c r="B244" s="736"/>
      <c r="C244" s="120" t="str">
        <f>'натур показатели патриотика'!C218</f>
        <v>Ремень буксировочный 6/9т 6м (а/м до 3т)  Крюк/Крюк +сумка(олива) Tplus</v>
      </c>
      <c r="D244" s="69" t="str">
        <f>'натур показатели патриотика'!D218</f>
        <v>шт</v>
      </c>
      <c r="E244" s="181">
        <f>'таланты+инициативы'!D365</f>
        <v>0.26300000000000001</v>
      </c>
    </row>
    <row r="245" spans="1:5" ht="22.5" x14ac:dyDescent="0.25">
      <c r="A245" s="735"/>
      <c r="B245" s="736"/>
      <c r="C245" s="120" t="str">
        <f>'натур показатели патриотика'!C219</f>
        <v>Ремкомплект поворотного кулака УАЗ мост Спайсер с полиуретановым сальником 3160-2304052 (3160-2304052)</v>
      </c>
      <c r="D245" s="69" t="str">
        <f>'натур показатели патриотика'!D219</f>
        <v>шт</v>
      </c>
      <c r="E245" s="181">
        <f>'таланты+инициативы'!D366</f>
        <v>1.052</v>
      </c>
    </row>
    <row r="246" spans="1:5" ht="22.5" x14ac:dyDescent="0.25">
      <c r="A246" s="735"/>
      <c r="B246" s="736"/>
      <c r="C246" s="120" t="str">
        <f>'натур показатели патриотика'!C220</f>
        <v>Ремкомплект шкворня УАЗ Хантер,Патриот мост Спайсер н/о(2 уса) с вкладышами)"Ваксойл"3163-230401 (3163-230401)</v>
      </c>
      <c r="D246" s="69" t="str">
        <f>'натур показатели патриотика'!D220</f>
        <v>шт</v>
      </c>
      <c r="E246" s="181">
        <f>'таланты+инициативы'!D367</f>
        <v>0.52600000000000002</v>
      </c>
    </row>
    <row r="247" spans="1:5" ht="22.5" x14ac:dyDescent="0.25">
      <c r="A247" s="735"/>
      <c r="B247" s="736"/>
      <c r="C247" s="120" t="str">
        <f>'натур показатели патриотика'!C221</f>
        <v>Сайлентблок передней подвески УАЗ резинометаллический (малый) 3160-2909027 (3160-2909027)</v>
      </c>
      <c r="D247" s="69" t="str">
        <f>'натур показатели патриотика'!D221</f>
        <v>шт</v>
      </c>
      <c r="E247" s="181">
        <f>'таланты+инициативы'!D368</f>
        <v>1.5780000000000001</v>
      </c>
    </row>
    <row r="248" spans="1:5" ht="22.5" x14ac:dyDescent="0.25">
      <c r="A248" s="735"/>
      <c r="B248" s="736"/>
      <c r="C248" s="120" t="str">
        <f>'натур показатели патриотика'!C222</f>
        <v>Сайлентблок рессоры УАЗ-Патриот 3163(завод)3163-2912020 (3163-2912020)</v>
      </c>
      <c r="D248" s="69" t="str">
        <f>'натур показатели патриотика'!D222</f>
        <v>шт</v>
      </c>
      <c r="E248" s="181">
        <f>'таланты+инициативы'!D369</f>
        <v>2.1040000000000001</v>
      </c>
    </row>
    <row r="249" spans="1:5" ht="22.5" x14ac:dyDescent="0.25">
      <c r="A249" s="735"/>
      <c r="B249" s="736"/>
      <c r="C249" s="120" t="str">
        <f>'натур показатели патриотика'!C223</f>
        <v>Сальник (55х70х8) коленвала передний 406дв."Кортеко"(Германия)406.1005034-02 (406.1005034-02)</v>
      </c>
      <c r="D249" s="69" t="str">
        <f>'натур показатели патриотика'!D223</f>
        <v>шт</v>
      </c>
      <c r="E249" s="181">
        <f>'таланты+инициативы'!D370</f>
        <v>0.52600000000000002</v>
      </c>
    </row>
    <row r="250" spans="1:5" ht="22.5" x14ac:dyDescent="0.25">
      <c r="A250" s="735"/>
      <c r="B250" s="736"/>
      <c r="C250" s="120" t="str">
        <f>'натур показатели патриотика'!C224</f>
        <v>Сальник (60х85х10) ступицы  NAK International 3741-3103038 (3741-3103038)</v>
      </c>
      <c r="D250" s="69" t="str">
        <f>'натур показатели патриотика'!D224</f>
        <v>шт</v>
      </c>
      <c r="E250" s="181">
        <f>'таланты+инициативы'!D371</f>
        <v>6.3120000000000003</v>
      </c>
    </row>
    <row r="251" spans="1:5" ht="22.5" customHeight="1" x14ac:dyDescent="0.25">
      <c r="A251" s="735"/>
      <c r="B251" s="736"/>
      <c r="C251" s="120" t="str">
        <f>'натур показатели патриотика'!C225</f>
        <v>Сальник к/вала задний 100л.с. 80х100х10(NAK intarnational)</v>
      </c>
      <c r="D251" s="69" t="str">
        <f>'натур показатели патриотика'!D225</f>
        <v>шт</v>
      </c>
      <c r="E251" s="181">
        <f>'таланты+инициативы'!D372</f>
        <v>0.52600000000000002</v>
      </c>
    </row>
    <row r="252" spans="1:5" ht="22.5" x14ac:dyDescent="0.25">
      <c r="A252" s="735"/>
      <c r="B252" s="736"/>
      <c r="C252" s="120" t="str">
        <f>'натур показатели патриотика'!C226</f>
        <v>Сальник хвостовика 42х68х 10/14,5 усиленный "NAK"3741-00-1701210-03 (3741-00-1701210-03)</v>
      </c>
      <c r="D252" s="69" t="str">
        <f>'натур показатели патриотика'!D226</f>
        <v>шт</v>
      </c>
      <c r="E252" s="181">
        <f>'таланты+инициативы'!D373</f>
        <v>2.1040000000000001</v>
      </c>
    </row>
    <row r="253" spans="1:5" ht="22.5" x14ac:dyDescent="0.25">
      <c r="A253" s="735"/>
      <c r="B253" s="736"/>
      <c r="C253" s="120" t="str">
        <f>'натур показатели патриотика'!C227</f>
        <v>Сальник шруса (в мет. обойме)(32х50х10)(19000078)3741-2304071 (3741-2304071)</v>
      </c>
      <c r="D253" s="69" t="str">
        <f>'натур показатели патриотика'!D227</f>
        <v>шт</v>
      </c>
      <c r="E253" s="181">
        <f>'таланты+инициативы'!D374</f>
        <v>1.052</v>
      </c>
    </row>
    <row r="254" spans="1:5" x14ac:dyDescent="0.25">
      <c r="A254" s="735"/>
      <c r="B254" s="736"/>
      <c r="C254" s="120" t="str">
        <f>'натур показатели патриотика'!C228</f>
        <v>Свеча зажигания DENSO  Q16ТТ#4  4607#4 (1 шт.)</v>
      </c>
      <c r="D254" s="69" t="str">
        <f>'натур показатели патриотика'!D228</f>
        <v>шт</v>
      </c>
      <c r="E254" s="181">
        <f>'таланты+инициативы'!D375</f>
        <v>2.1040000000000001</v>
      </c>
    </row>
    <row r="255" spans="1:5" x14ac:dyDescent="0.25">
      <c r="A255" s="735"/>
      <c r="B255" s="736"/>
      <c r="C255" s="120" t="str">
        <f>'натур показатели патриотика'!C229</f>
        <v>Скоба омегообр. с резьбой г/п 2,0т тип G 209 ХЛ</v>
      </c>
      <c r="D255" s="69" t="str">
        <f>'натур показатели патриотика'!D229</f>
        <v>шт</v>
      </c>
      <c r="E255" s="181">
        <f>'таланты+инициативы'!D376</f>
        <v>0.26300000000000001</v>
      </c>
    </row>
    <row r="256" spans="1:5" x14ac:dyDescent="0.25">
      <c r="A256" s="735"/>
      <c r="B256" s="736"/>
      <c r="C256" s="120" t="str">
        <f>'натур показатели патриотика'!C230</f>
        <v>Строп динамический (рывковый) 6т,  9 м, серия "Стандарт" TPlus</v>
      </c>
      <c r="D256" s="69" t="str">
        <f>'натур показатели патриотика'!D230</f>
        <v>шт</v>
      </c>
      <c r="E256" s="181">
        <f>'таланты+инициативы'!D377</f>
        <v>0.26300000000000001</v>
      </c>
    </row>
    <row r="257" spans="1:5" ht="22.5" x14ac:dyDescent="0.25">
      <c r="A257" s="735"/>
      <c r="B257" s="736"/>
      <c r="C257" s="120" t="str">
        <f>'натур показатели патриотика'!C231</f>
        <v>Ступица заднего колеса УАЗ-3163(с имп.диском в сборе АБС)3163-3104006 (3163-3104006)</v>
      </c>
      <c r="D257" s="69" t="str">
        <f>'натур показатели патриотика'!D231</f>
        <v>шт</v>
      </c>
      <c r="E257" s="181">
        <f>'таланты+инициативы'!D378</f>
        <v>0.26300000000000001</v>
      </c>
    </row>
    <row r="258" spans="1:5" ht="22.5" x14ac:dyDescent="0.25">
      <c r="A258" s="735"/>
      <c r="B258" s="736"/>
      <c r="C258" s="120" t="str">
        <f>'натур показатели патриотика'!C232</f>
        <v>Сцепление к-т ЗМЗ-409"LUK"(с выжимным подшипником АДС)3163 06 1601006 (3163 06 1601006)</v>
      </c>
      <c r="D258" s="69" t="str">
        <f>'натур показатели патриотика'!D232</f>
        <v>шт</v>
      </c>
      <c r="E258" s="181">
        <f>'таланты+инициативы'!D379</f>
        <v>0.26300000000000001</v>
      </c>
    </row>
    <row r="259" spans="1:5" x14ac:dyDescent="0.25">
      <c r="A259" s="735"/>
      <c r="B259" s="736"/>
      <c r="C259" s="120" t="str">
        <f>'натур показатели патриотика'!C233</f>
        <v>Термостат Т-118 t-87 (УМЗ4216) Электон  Т118-1306100-04</v>
      </c>
      <c r="D259" s="69" t="str">
        <f>'натур показатели патриотика'!D233</f>
        <v>шт</v>
      </c>
      <c r="E259" s="181">
        <f>'таланты+инициативы'!D380</f>
        <v>0.52600000000000002</v>
      </c>
    </row>
    <row r="260" spans="1:5" x14ac:dyDescent="0.25">
      <c r="A260" s="735"/>
      <c r="B260" s="736"/>
      <c r="C260" s="120" t="str">
        <f>'натур показатели патриотика'!C234</f>
        <v>Тормозная жидкость G-Energy EXPERT DOT4 (0.910кг)</v>
      </c>
      <c r="D260" s="69" t="str">
        <f>'натур показатели патриотика'!D234</f>
        <v>шт</v>
      </c>
      <c r="E260" s="181">
        <f>'таланты+инициативы'!D381</f>
        <v>0.52600000000000002</v>
      </c>
    </row>
    <row r="261" spans="1:5" ht="22.5" x14ac:dyDescent="0.25">
      <c r="A261" s="735"/>
      <c r="B261" s="736"/>
      <c r="C261" s="120" t="str">
        <f>'натур показатели патриотика'!C235</f>
        <v>Уплотнитель свечного колодца 406 дв.(ЕВРО-2)(Силикон синий) 406.1007248-10 (406.1007248-10)</v>
      </c>
      <c r="D261" s="69" t="str">
        <f>'натур показатели патриотика'!D235</f>
        <v>шт</v>
      </c>
      <c r="E261" s="181">
        <f>'таланты+инициативы'!D382</f>
        <v>0.26300000000000001</v>
      </c>
    </row>
    <row r="262" spans="1:5" x14ac:dyDescent="0.25">
      <c r="A262" s="735"/>
      <c r="B262" s="736"/>
      <c r="C262" s="120" t="str">
        <f>'натур показатели патриотика'!C236</f>
        <v>Утеплитель лобовой наружный с дверями УАЗ-452(ватин/венил/кожа)</v>
      </c>
      <c r="D262" s="69" t="str">
        <f>'натур показатели патриотика'!D236</f>
        <v>шт</v>
      </c>
      <c r="E262" s="181">
        <f>'таланты+инициативы'!D383</f>
        <v>0.26300000000000001</v>
      </c>
    </row>
    <row r="263" spans="1:5" ht="22.5" x14ac:dyDescent="0.25">
      <c r="A263" s="735"/>
      <c r="B263" s="736"/>
      <c r="C263" s="120" t="str">
        <f>'натур показатели патриотика'!C237</f>
        <v>Фильтр масляный MANN-FILTER W 914/2(W 812)(W 813)(W 914/2 n)(W 914/5)"10"</v>
      </c>
      <c r="D263" s="69" t="str">
        <f>'натур показатели патриотика'!D237</f>
        <v>шт</v>
      </c>
      <c r="E263" s="181">
        <f>'таланты+инициативы'!D384</f>
        <v>1.052</v>
      </c>
    </row>
    <row r="264" spans="1:5" ht="22.5" x14ac:dyDescent="0.25">
      <c r="A264" s="735"/>
      <c r="B264" s="736"/>
      <c r="C264" s="120" t="str">
        <f>'натур показатели патриотика'!C238</f>
        <v>Фильтр топливный УАЗ ( инжектор штуцера с резьбой)УАЗ Оригиннал 3151-96-1117010 (3151-96-1117010)</v>
      </c>
      <c r="D264" s="69" t="str">
        <f>'натур показатели патриотика'!D238</f>
        <v>шт</v>
      </c>
      <c r="E264" s="181">
        <f>'таланты+инициативы'!D385</f>
        <v>1.052</v>
      </c>
    </row>
    <row r="265" spans="1:5" ht="22.5" x14ac:dyDescent="0.25">
      <c r="A265" s="735"/>
      <c r="B265" s="736"/>
      <c r="C265" s="120" t="str">
        <f>'натур показатели патриотика'!C239</f>
        <v>Цилиндр тормозной задний УАЗ 3160,3162 Патриот(d=28мм)KNU 3160 3502040 (3160 3502040)</v>
      </c>
      <c r="D265" s="69" t="str">
        <f>'натур показатели патриотика'!D239</f>
        <v>шт</v>
      </c>
      <c r="E265" s="181">
        <f>'таланты+инициативы'!D386</f>
        <v>1.052</v>
      </c>
    </row>
    <row r="266" spans="1:5" x14ac:dyDescent="0.25">
      <c r="A266" s="735"/>
      <c r="B266" s="736"/>
      <c r="C266" s="120" t="str">
        <f>'натур показатели патриотика'!C240</f>
        <v>Шакл (скоба омегообр. с резьбой г/п 3,25т)тип G209 ХЛ</v>
      </c>
      <c r="D266" s="69" t="str">
        <f>'натур показатели патриотика'!D240</f>
        <v>шт</v>
      </c>
      <c r="E266" s="181">
        <f>'таланты+инициативы'!D387</f>
        <v>0.26300000000000001</v>
      </c>
    </row>
    <row r="267" spans="1:5" x14ac:dyDescent="0.25">
      <c r="A267" s="735"/>
      <c r="B267" s="736"/>
      <c r="C267" s="120" t="str">
        <f>'натур показатели патриотика'!C241</f>
        <v>Шкив помпы 406 дв текстолит 406.1308025-10 ( 406.1308025-10)</v>
      </c>
      <c r="D267" s="69" t="str">
        <f>'натур показатели патриотика'!D241</f>
        <v>шт</v>
      </c>
      <c r="E267" s="181">
        <f>'таланты+инициативы'!D388</f>
        <v>0.78900000000000003</v>
      </c>
    </row>
    <row r="268" spans="1:5" ht="22.5" x14ac:dyDescent="0.25">
      <c r="A268" s="735"/>
      <c r="B268" s="736"/>
      <c r="C268" s="120" t="str">
        <f>'натур показатели патриотика'!C242</f>
        <v>Шланг тормозной задний УАЗ-452 инжектор.ЕВРО-4 3962-3506061 (3962-3506061)</v>
      </c>
      <c r="D268" s="69" t="str">
        <f>'натур показатели патриотика'!D242</f>
        <v>шт</v>
      </c>
      <c r="E268" s="181">
        <f>'таланты+инициативы'!D389</f>
        <v>1.052</v>
      </c>
    </row>
    <row r="269" spans="1:5" ht="22.5" x14ac:dyDescent="0.25">
      <c r="A269" s="735"/>
      <c r="B269" s="736"/>
      <c r="C269" s="120" t="str">
        <f>'натур показатели патриотика'!C243</f>
        <v>Шланг тормозной передний УАЗ-452 инжектор Евро-4 3962-3506060 (3962-3506060)</v>
      </c>
      <c r="D269" s="69" t="str">
        <f>'натур показатели патриотика'!D243</f>
        <v>шт</v>
      </c>
      <c r="E269" s="181">
        <f>'таланты+инициативы'!D390</f>
        <v>1.052</v>
      </c>
    </row>
    <row r="270" spans="1:5" ht="22.5" x14ac:dyDescent="0.25">
      <c r="A270" s="735"/>
      <c r="B270" s="736"/>
      <c r="C270" s="120" t="str">
        <f>'натур показатели патриотика'!C244</f>
        <v>Шпилька колеса М 14х1,5х45  ГАЗ 2410,УАЗ 20-3103008-Б (20-3103008-Б)</v>
      </c>
      <c r="D270" s="69" t="str">
        <f>'натур показатели патриотика'!D244</f>
        <v>шт</v>
      </c>
      <c r="E270" s="181">
        <f>'таланты+инициативы'!D391</f>
        <v>5.26</v>
      </c>
    </row>
    <row r="271" spans="1:5" ht="22.5" x14ac:dyDescent="0.25">
      <c r="A271" s="735"/>
      <c r="B271" s="736"/>
      <c r="C271" s="120" t="str">
        <f>'натур показатели патриотика'!C245</f>
        <v>Элемент воздушного фильтра УАЗ 452 инжектор 4213,409 (низкий)Цитрон 9.1.97 1109080 (9.1.97 1109080)</v>
      </c>
      <c r="D271" s="69" t="str">
        <f>'натур показатели патриотика'!D245</f>
        <v>шт</v>
      </c>
      <c r="E271" s="181">
        <f>'таланты+инициативы'!D392</f>
        <v>0.52600000000000002</v>
      </c>
    </row>
    <row r="272" spans="1:5" x14ac:dyDescent="0.25">
      <c r="A272" s="735"/>
      <c r="B272" s="736"/>
      <c r="C272" s="120" t="str">
        <f>'натур показатели патриотика'!C246</f>
        <v>Кран шаровый</v>
      </c>
      <c r="D272" s="69" t="str">
        <f>'натур показатели патриотика'!D246</f>
        <v>шт</v>
      </c>
      <c r="E272" s="181">
        <f>'таланты+инициативы'!D393</f>
        <v>0.26300000000000001</v>
      </c>
    </row>
    <row r="273" spans="1:5" x14ac:dyDescent="0.25">
      <c r="A273" s="735"/>
      <c r="B273" s="736"/>
      <c r="C273" s="120" t="str">
        <f>'натур показатели патриотика'!C247</f>
        <v>Вода дист</v>
      </c>
      <c r="D273" s="69" t="str">
        <f>'натур показатели патриотика'!D247</f>
        <v>шт</v>
      </c>
      <c r="E273" s="181">
        <f>'таланты+инициативы'!D394</f>
        <v>0.26300000000000001</v>
      </c>
    </row>
    <row r="274" spans="1:5" x14ac:dyDescent="0.25">
      <c r="A274" s="735"/>
      <c r="B274" s="736"/>
      <c r="C274" s="120" t="str">
        <f>'натур показатели патриотика'!C248</f>
        <v>Кислота серная</v>
      </c>
      <c r="D274" s="69" t="str">
        <f>'натур показатели патриотика'!D248</f>
        <v>шт</v>
      </c>
      <c r="E274" s="181">
        <f>'таланты+инициативы'!D395</f>
        <v>1.052</v>
      </c>
    </row>
    <row r="275" spans="1:5" x14ac:dyDescent="0.25">
      <c r="A275" s="735"/>
      <c r="B275" s="736"/>
      <c r="C275" s="120" t="str">
        <f>'натур показатели патриотика'!C249</f>
        <v>Пакеты майка</v>
      </c>
      <c r="D275" s="69" t="str">
        <f>'натур показатели патриотика'!D249</f>
        <v>шт</v>
      </c>
      <c r="E275" s="181">
        <f>'таланты+инициативы'!D396</f>
        <v>0.26300000000000001</v>
      </c>
    </row>
    <row r="276" spans="1:5" x14ac:dyDescent="0.25">
      <c r="A276" s="735"/>
      <c r="B276" s="736"/>
      <c r="C276" s="120" t="str">
        <f>'натур показатели патриотика'!C250</f>
        <v>Уголок мебельный</v>
      </c>
      <c r="D276" s="69" t="str">
        <f>'натур показатели патриотика'!D250</f>
        <v>шт</v>
      </c>
      <c r="E276" s="181">
        <f>'таланты+инициативы'!D397</f>
        <v>2.63</v>
      </c>
    </row>
    <row r="277" spans="1:5" x14ac:dyDescent="0.25">
      <c r="A277" s="735"/>
      <c r="B277" s="736"/>
      <c r="C277" s="120" t="str">
        <f>'натур показатели патриотика'!C251</f>
        <v>Саморез по гипсокартону</v>
      </c>
      <c r="D277" s="69" t="str">
        <f>'натур показатели патриотика'!D251</f>
        <v>шт</v>
      </c>
      <c r="E277" s="181">
        <f>'таланты+инициативы'!D398</f>
        <v>52.6</v>
      </c>
    </row>
    <row r="278" spans="1:5" x14ac:dyDescent="0.25">
      <c r="A278" s="735"/>
      <c r="B278" s="736"/>
      <c r="C278" s="120" t="str">
        <f>'натур показатели патриотика'!C252</f>
        <v>Доместос</v>
      </c>
      <c r="D278" s="69" t="str">
        <f>'натур показатели патриотика'!D252</f>
        <v>шт</v>
      </c>
      <c r="E278" s="181">
        <f>'таланты+инициативы'!D399</f>
        <v>1.3149999999999999</v>
      </c>
    </row>
    <row r="279" spans="1:5" x14ac:dyDescent="0.25">
      <c r="A279" s="735"/>
      <c r="B279" s="736"/>
      <c r="C279" s="120" t="str">
        <f>'натур показатели патриотика'!C253</f>
        <v>Белизна</v>
      </c>
      <c r="D279" s="69" t="str">
        <f>'натур показатели патриотика'!D253</f>
        <v>шт</v>
      </c>
      <c r="E279" s="181">
        <f>'таланты+инициативы'!D400</f>
        <v>1.3149999999999999</v>
      </c>
    </row>
    <row r="280" spans="1:5" x14ac:dyDescent="0.25">
      <c r="A280" s="735"/>
      <c r="B280" s="736"/>
      <c r="C280" s="120" t="str">
        <f>'натур показатели патриотика'!C254</f>
        <v xml:space="preserve">Пемолюкс </v>
      </c>
      <c r="D280" s="69" t="str">
        <f>'натур показатели патриотика'!D254</f>
        <v>шт</v>
      </c>
      <c r="E280" s="181">
        <f>'таланты+инициативы'!D401</f>
        <v>3.9450000000000003</v>
      </c>
    </row>
    <row r="281" spans="1:5" x14ac:dyDescent="0.25">
      <c r="A281" s="735"/>
      <c r="B281" s="736"/>
      <c r="C281" s="120" t="str">
        <f>'натур показатели патриотика'!C255</f>
        <v>Мыло</v>
      </c>
      <c r="D281" s="69" t="str">
        <f>'натур показатели патриотика'!D255</f>
        <v>шт</v>
      </c>
      <c r="E281" s="181">
        <f>'таланты+инициативы'!D402</f>
        <v>0.26300000000000001</v>
      </c>
    </row>
    <row r="282" spans="1:5" x14ac:dyDescent="0.25">
      <c r="A282" s="735"/>
      <c r="B282" s="736"/>
      <c r="C282" s="120" t="str">
        <f>'натур показатели патриотика'!C256</f>
        <v>Стеклоочиститель с распылителем</v>
      </c>
      <c r="D282" s="69" t="str">
        <f>'натур показатели патриотика'!D256</f>
        <v>шт</v>
      </c>
      <c r="E282" s="181">
        <f>'таланты+инициативы'!D403</f>
        <v>0.26300000000000001</v>
      </c>
    </row>
    <row r="283" spans="1:5" x14ac:dyDescent="0.25">
      <c r="A283" s="735"/>
      <c r="B283" s="736"/>
      <c r="C283" s="120" t="str">
        <f>'натур показатели патриотика'!C257</f>
        <v>Стеклоочиститель (сменный блок)</v>
      </c>
      <c r="D283" s="69" t="str">
        <f>'натур показатели патриотика'!D257</f>
        <v>шт</v>
      </c>
      <c r="E283" s="181">
        <f>'таланты+инициативы'!D404</f>
        <v>0.26300000000000001</v>
      </c>
    </row>
    <row r="284" spans="1:5" x14ac:dyDescent="0.25">
      <c r="A284" s="735"/>
      <c r="B284" s="736"/>
      <c r="C284" s="120" t="str">
        <f>'натур показатели патриотика'!C258</f>
        <v>Губки</v>
      </c>
      <c r="D284" s="69" t="str">
        <f>'натур показатели патриотика'!D258</f>
        <v>шт</v>
      </c>
      <c r="E284" s="181">
        <f>'таланты+инициативы'!D405</f>
        <v>0.52600000000000002</v>
      </c>
    </row>
    <row r="285" spans="1:5" x14ac:dyDescent="0.25">
      <c r="A285" s="735"/>
      <c r="B285" s="736"/>
      <c r="C285" s="120" t="str">
        <f>'натур показатели патриотика'!C259</f>
        <v>Моющее средство МИФ</v>
      </c>
      <c r="D285" s="69" t="str">
        <f>'натур показатели патриотика'!D259</f>
        <v>шт</v>
      </c>
      <c r="E285" s="181">
        <f>'таланты+инициативы'!D406</f>
        <v>1.3149999999999999</v>
      </c>
    </row>
    <row r="286" spans="1:5" x14ac:dyDescent="0.25">
      <c r="A286" s="735"/>
      <c r="B286" s="736"/>
      <c r="C286" s="120" t="str">
        <f>'натур показатели патриотика'!C260</f>
        <v>Тряпка вискозная</v>
      </c>
      <c r="D286" s="69" t="str">
        <f>'натур показатели патриотика'!D260</f>
        <v>шт</v>
      </c>
      <c r="E286" s="181">
        <f>'таланты+инициативы'!D407</f>
        <v>1.3149999999999999</v>
      </c>
    </row>
    <row r="287" spans="1:5" x14ac:dyDescent="0.25">
      <c r="A287" s="735"/>
      <c r="B287" s="736"/>
      <c r="C287" s="120" t="str">
        <f>'натур показатели патриотика'!C261</f>
        <v>Тряпки</v>
      </c>
      <c r="D287" s="69" t="str">
        <f>'натур показатели патриотика'!D261</f>
        <v>шт</v>
      </c>
      <c r="E287" s="181">
        <f>'таланты+инициативы'!D408</f>
        <v>1.3149999999999999</v>
      </c>
    </row>
    <row r="288" spans="1:5" x14ac:dyDescent="0.25">
      <c r="A288" s="735"/>
      <c r="B288" s="736"/>
      <c r="C288" s="120" t="str">
        <f>'натур показатели патриотика'!C262</f>
        <v>Полотенца бумажные</v>
      </c>
      <c r="D288" s="69" t="str">
        <f>'натур показатели патриотика'!D262</f>
        <v>шт</v>
      </c>
      <c r="E288" s="181">
        <f>'таланты+инициативы'!D409</f>
        <v>1.3149999999999999</v>
      </c>
    </row>
    <row r="289" spans="1:5" x14ac:dyDescent="0.25">
      <c r="A289" s="735"/>
      <c r="B289" s="736"/>
      <c r="C289" s="120" t="str">
        <f>'натур показатели патриотика'!C263</f>
        <v>Железная губка</v>
      </c>
      <c r="D289" s="69" t="str">
        <f>'натур показатели патриотика'!D263</f>
        <v>шт</v>
      </c>
      <c r="E289" s="181">
        <f>'таланты+инициативы'!D410</f>
        <v>0.52600000000000002</v>
      </c>
    </row>
    <row r="290" spans="1:5" x14ac:dyDescent="0.25">
      <c r="A290" s="735"/>
      <c r="B290" s="736"/>
      <c r="C290" s="120" t="str">
        <f>'натур показатели патриотика'!C264</f>
        <v>Перчатки</v>
      </c>
      <c r="D290" s="69" t="str">
        <f>'натур показатели патриотика'!D264</f>
        <v>шт</v>
      </c>
      <c r="E290" s="181">
        <f>'таланты+инициативы'!D411</f>
        <v>1.3149999999999999</v>
      </c>
    </row>
    <row r="291" spans="1:5" x14ac:dyDescent="0.25">
      <c r="A291" s="735"/>
      <c r="B291" s="736"/>
      <c r="C291" s="120" t="str">
        <f>'натур показатели патриотика'!C265</f>
        <v>Блок гигиенический для унитаза</v>
      </c>
      <c r="D291" s="69" t="str">
        <f>'натур показатели патриотика'!D265</f>
        <v>шт</v>
      </c>
      <c r="E291" s="181">
        <f>'таланты+инициативы'!D412</f>
        <v>0.52600000000000002</v>
      </c>
    </row>
    <row r="292" spans="1:5" x14ac:dyDescent="0.25">
      <c r="A292" s="735"/>
      <c r="B292" s="736"/>
      <c r="C292" s="120" t="str">
        <f>'натур показатели патриотика'!C266</f>
        <v>Мыло</v>
      </c>
      <c r="D292" s="69" t="str">
        <f>'натур показатели патриотика'!D266</f>
        <v>шт</v>
      </c>
      <c r="E292" s="181">
        <f>'таланты+инициативы'!D413</f>
        <v>1.3149999999999999</v>
      </c>
    </row>
    <row r="293" spans="1:5" x14ac:dyDescent="0.25">
      <c r="A293" s="735"/>
      <c r="B293" s="736"/>
      <c r="C293" s="120" t="str">
        <f>'натур показатели патриотика'!C267</f>
        <v>Мешки для мусора 60 л</v>
      </c>
      <c r="D293" s="69" t="str">
        <f>'натур показатели патриотика'!D267</f>
        <v>шт</v>
      </c>
      <c r="E293" s="181">
        <f>'таланты+инициативы'!D414</f>
        <v>2.63</v>
      </c>
    </row>
    <row r="294" spans="1:5" x14ac:dyDescent="0.25">
      <c r="A294" s="735"/>
      <c r="B294" s="736"/>
      <c r="C294" s="120" t="str">
        <f>'натур показатели патриотика'!C268</f>
        <v>Мешки для мусора 120 л</v>
      </c>
      <c r="D294" s="69" t="str">
        <f>'натур показатели патриотика'!D268</f>
        <v>шт</v>
      </c>
      <c r="E294" s="181">
        <f>'таланты+инициативы'!D415</f>
        <v>1.3149999999999999</v>
      </c>
    </row>
    <row r="295" spans="1:5" x14ac:dyDescent="0.25">
      <c r="A295" s="735"/>
      <c r="B295" s="736"/>
      <c r="C295" s="120" t="str">
        <f>'натур показатели патриотика'!C269</f>
        <v>Мешки для мусора 35 л</v>
      </c>
      <c r="D295" s="69" t="str">
        <f>'натур показатели патриотика'!D269</f>
        <v>шт</v>
      </c>
      <c r="E295" s="181">
        <f>'таланты+инициативы'!D416</f>
        <v>2.63</v>
      </c>
    </row>
    <row r="296" spans="1:5" x14ac:dyDescent="0.25">
      <c r="A296" s="735"/>
      <c r="B296" s="736"/>
      <c r="C296" s="120" t="str">
        <f>'натур показатели патриотика'!C270</f>
        <v>Туалетная бумага</v>
      </c>
      <c r="D296" s="69" t="str">
        <f>'натур показатели патриотика'!D270</f>
        <v>шт</v>
      </c>
      <c r="E296" s="181">
        <f>'таланты+инициативы'!D417</f>
        <v>12.624000000000001</v>
      </c>
    </row>
    <row r="297" spans="1:5" x14ac:dyDescent="0.25">
      <c r="A297" s="735"/>
      <c r="B297" s="736"/>
      <c r="C297" s="120" t="str">
        <f>'натур показатели патриотика'!C271</f>
        <v>Салфетка</v>
      </c>
      <c r="D297" s="69" t="str">
        <f>'натур показатели патриотика'!D271</f>
        <v>шт</v>
      </c>
      <c r="E297" s="181">
        <f>'таланты+инициативы'!D418</f>
        <v>1.3149999999999999</v>
      </c>
    </row>
    <row r="298" spans="1:5" x14ac:dyDescent="0.25">
      <c r="A298" s="735"/>
      <c r="B298" s="736"/>
      <c r="C298" s="120" t="str">
        <f>'натур показатели патриотика'!C272</f>
        <v>Пакет</v>
      </c>
      <c r="D298" s="69" t="str">
        <f>'натур показатели патриотика'!D272</f>
        <v>шт</v>
      </c>
      <c r="E298" s="181">
        <f>'таланты+инициативы'!D419</f>
        <v>0.78900000000000003</v>
      </c>
    </row>
    <row r="299" spans="1:5" x14ac:dyDescent="0.25">
      <c r="A299" s="735"/>
      <c r="B299" s="736"/>
      <c r="C299" s="120" t="str">
        <f>'натур показатели патриотика'!C273</f>
        <v>Жидкое мыло</v>
      </c>
      <c r="D299" s="69" t="str">
        <f>'натур показатели патриотика'!D273</f>
        <v>шт</v>
      </c>
      <c r="E299" s="181">
        <f>'таланты+инициативы'!D420</f>
        <v>1.3149999999999999</v>
      </c>
    </row>
    <row r="300" spans="1:5" x14ac:dyDescent="0.25">
      <c r="A300" s="735"/>
      <c r="B300" s="736"/>
      <c r="C300" s="120" t="str">
        <f>'натур показатели патриотика'!C274</f>
        <v>Стеклоочиститель</v>
      </c>
      <c r="D300" s="69" t="str">
        <f>'натур показатели патриотика'!D274</f>
        <v>шт</v>
      </c>
      <c r="E300" s="181">
        <f>'таланты+инициативы'!D421</f>
        <v>0.78900000000000003</v>
      </c>
    </row>
    <row r="301" spans="1:5" x14ac:dyDescent="0.25">
      <c r="A301" s="735"/>
      <c r="B301" s="736"/>
      <c r="C301" s="120" t="str">
        <f>'натур показатели патриотика'!C275</f>
        <v>Блок для записи маленький</v>
      </c>
      <c r="D301" s="69" t="str">
        <f>'натур показатели патриотика'!D275</f>
        <v>шт</v>
      </c>
      <c r="E301" s="181">
        <f>'таланты+инициативы'!D422</f>
        <v>0.52600000000000002</v>
      </c>
    </row>
    <row r="302" spans="1:5" x14ac:dyDescent="0.25">
      <c r="A302" s="735"/>
      <c r="B302" s="736"/>
      <c r="C302" s="120" t="str">
        <f>'натур показатели патриотика'!C276</f>
        <v>Блок для записи большой</v>
      </c>
      <c r="D302" s="69" t="str">
        <f>'натур показатели патриотика'!D276</f>
        <v>шт</v>
      </c>
      <c r="E302" s="181">
        <f>'таланты+инициативы'!D423</f>
        <v>0.78900000000000003</v>
      </c>
    </row>
    <row r="303" spans="1:5" x14ac:dyDescent="0.25">
      <c r="A303" s="735"/>
      <c r="B303" s="736"/>
      <c r="C303" s="120" t="str">
        <f>'натур показатели патриотика'!C277</f>
        <v>Скрепки</v>
      </c>
      <c r="D303" s="69" t="str">
        <f>'натур показатели патриотика'!D277</f>
        <v>шт</v>
      </c>
      <c r="E303" s="181">
        <f>'таланты+инициативы'!D424</f>
        <v>2.63</v>
      </c>
    </row>
    <row r="304" spans="1:5" x14ac:dyDescent="0.25">
      <c r="A304" s="735"/>
      <c r="B304" s="736"/>
      <c r="C304" s="120" t="str">
        <f>'натур показатели патриотика'!C278</f>
        <v>Кнопки</v>
      </c>
      <c r="D304" s="69" t="str">
        <f>'натур показатели патриотика'!D278</f>
        <v>шт</v>
      </c>
      <c r="E304" s="181">
        <f>'таланты+инициативы'!D425</f>
        <v>2.63</v>
      </c>
    </row>
    <row r="305" spans="1:5" x14ac:dyDescent="0.25">
      <c r="A305" s="735"/>
      <c r="B305" s="736"/>
      <c r="C305" s="120" t="str">
        <f>'натур показатели патриотика'!C279</f>
        <v>Кнопки</v>
      </c>
      <c r="D305" s="69" t="str">
        <f>'натур показатели патриотика'!D279</f>
        <v>шт</v>
      </c>
      <c r="E305" s="181">
        <f>'таланты+инициативы'!D426</f>
        <v>1.3149999999999999</v>
      </c>
    </row>
    <row r="306" spans="1:5" x14ac:dyDescent="0.25">
      <c r="A306" s="735"/>
      <c r="B306" s="736"/>
      <c r="C306" s="120" t="str">
        <f>'натур показатели патриотика'!C280</f>
        <v>Степлер №10</v>
      </c>
      <c r="D306" s="69" t="str">
        <f>'натур показатели патриотика'!D280</f>
        <v>шт</v>
      </c>
      <c r="E306" s="181">
        <f>'таланты+инициативы'!D427</f>
        <v>0.26300000000000001</v>
      </c>
    </row>
    <row r="307" spans="1:5" x14ac:dyDescent="0.25">
      <c r="A307" s="735"/>
      <c r="B307" s="736"/>
      <c r="C307" s="120" t="str">
        <f>'натур показатели патриотика'!C281</f>
        <v>Степлер №24</v>
      </c>
      <c r="D307" s="69" t="str">
        <f>'натур показатели патриотика'!D281</f>
        <v>шт</v>
      </c>
      <c r="E307" s="181">
        <f>'таланты+инициативы'!D428</f>
        <v>0.26300000000000001</v>
      </c>
    </row>
    <row r="308" spans="1:5" x14ac:dyDescent="0.25">
      <c r="A308" s="735"/>
      <c r="B308" s="736"/>
      <c r="C308" s="120" t="str">
        <f>'натур показатели патриотика'!C282</f>
        <v>Степлер №21</v>
      </c>
      <c r="D308" s="69" t="str">
        <f>'натур показатели патриотика'!D282</f>
        <v>шт</v>
      </c>
      <c r="E308" s="181">
        <f>'таланты+инициативы'!D429</f>
        <v>0.78900000000000003</v>
      </c>
    </row>
    <row r="309" spans="1:5" x14ac:dyDescent="0.25">
      <c r="A309" s="735"/>
      <c r="B309" s="736"/>
      <c r="C309" s="120" t="str">
        <f>'натур показатели патриотика'!C283</f>
        <v>Скобы для степлера (большие)</v>
      </c>
      <c r="D309" s="69" t="str">
        <f>'натур показатели патриотика'!D283</f>
        <v>шт</v>
      </c>
      <c r="E309" s="181">
        <f>'таланты+инициативы'!D430</f>
        <v>5.26</v>
      </c>
    </row>
    <row r="310" spans="1:5" x14ac:dyDescent="0.25">
      <c r="A310" s="735"/>
      <c r="B310" s="736"/>
      <c r="C310" s="120" t="str">
        <f>'натур показатели патриотика'!C284</f>
        <v>Скобы для степлера (маленькие)</v>
      </c>
      <c r="D310" s="69" t="str">
        <f>'натур показатели патриотика'!D284</f>
        <v>шт</v>
      </c>
      <c r="E310" s="181">
        <f>'таланты+инициативы'!D431</f>
        <v>2.63</v>
      </c>
    </row>
    <row r="311" spans="1:5" x14ac:dyDescent="0.25">
      <c r="A311" s="735"/>
      <c r="B311" s="736"/>
      <c r="C311" s="120" t="str">
        <f>'натур показатели патриотика'!C285</f>
        <v>Ножницы маленькие</v>
      </c>
      <c r="D311" s="69" t="str">
        <f>'натур показатели патриотика'!D285</f>
        <v>шт</v>
      </c>
      <c r="E311" s="181">
        <f>'таланты+инициативы'!D432</f>
        <v>0.78900000000000003</v>
      </c>
    </row>
    <row r="312" spans="1:5" x14ac:dyDescent="0.25">
      <c r="A312" s="735"/>
      <c r="B312" s="736"/>
      <c r="C312" s="120" t="str">
        <f>'натур показатели патриотика'!C286</f>
        <v xml:space="preserve">Ножницы большие </v>
      </c>
      <c r="D312" s="69" t="str">
        <f>'натур показатели патриотика'!D286</f>
        <v>шт</v>
      </c>
      <c r="E312" s="181">
        <f>'таланты+инициативы'!D433</f>
        <v>0.26300000000000001</v>
      </c>
    </row>
    <row r="313" spans="1:5" x14ac:dyDescent="0.25">
      <c r="A313" s="735"/>
      <c r="B313" s="736"/>
      <c r="C313" s="120" t="str">
        <f>'натур показатели патриотика'!C287</f>
        <v>Ножницы</v>
      </c>
      <c r="D313" s="69" t="str">
        <f>'натур показатели патриотика'!D287</f>
        <v>шт</v>
      </c>
      <c r="E313" s="181">
        <f>'таланты+инициативы'!D434</f>
        <v>2.63</v>
      </c>
    </row>
    <row r="314" spans="1:5" x14ac:dyDescent="0.25">
      <c r="A314" s="735"/>
      <c r="B314" s="736"/>
      <c r="C314" s="120" t="str">
        <f>'натур показатели патриотика'!C288</f>
        <v>Линейка 40 см</v>
      </c>
      <c r="D314" s="69" t="str">
        <f>'натур показатели патриотика'!D288</f>
        <v>шт</v>
      </c>
      <c r="E314" s="181">
        <f>'таланты+инициативы'!D435</f>
        <v>0.52600000000000002</v>
      </c>
    </row>
    <row r="315" spans="1:5" x14ac:dyDescent="0.25">
      <c r="A315" s="735"/>
      <c r="B315" s="736"/>
      <c r="C315" s="120" t="str">
        <f>'натур показатели патриотика'!C289</f>
        <v>Линейка 30 см</v>
      </c>
      <c r="D315" s="69" t="str">
        <f>'натур показатели патриотика'!D289</f>
        <v>шт</v>
      </c>
      <c r="E315" s="181">
        <f>'таланты+инициативы'!D436</f>
        <v>1.3149999999999999</v>
      </c>
    </row>
    <row r="316" spans="1:5" x14ac:dyDescent="0.25">
      <c r="A316" s="735"/>
      <c r="B316" s="736"/>
      <c r="C316" s="120" t="str">
        <f>'натур показатели патриотика'!C290</f>
        <v>Линейка 20 см</v>
      </c>
      <c r="D316" s="69" t="str">
        <f>'натур показатели патриотика'!D290</f>
        <v>шт</v>
      </c>
      <c r="E316" s="181">
        <f>'таланты+инициативы'!D437</f>
        <v>1.052</v>
      </c>
    </row>
    <row r="317" spans="1:5" x14ac:dyDescent="0.25">
      <c r="A317" s="735"/>
      <c r="B317" s="736"/>
      <c r="C317" s="120" t="str">
        <f>'натур показатели патриотика'!C291</f>
        <v>Маркер черный толстый</v>
      </c>
      <c r="D317" s="69" t="str">
        <f>'натур показатели патриотика'!D291</f>
        <v>шт</v>
      </c>
      <c r="E317" s="181">
        <f>'таланты+инициативы'!D438</f>
        <v>0.26300000000000001</v>
      </c>
    </row>
    <row r="318" spans="1:5" x14ac:dyDescent="0.25">
      <c r="A318" s="735"/>
      <c r="B318" s="736"/>
      <c r="C318" s="120" t="str">
        <f>'натур показатели патриотика'!C292</f>
        <v>Маркер черный тонкий</v>
      </c>
      <c r="D318" s="69" t="str">
        <f>'натур показатели патриотика'!D292</f>
        <v>шт</v>
      </c>
      <c r="E318" s="181">
        <f>'таланты+инициативы'!D439</f>
        <v>2.1040000000000001</v>
      </c>
    </row>
    <row r="319" spans="1:5" x14ac:dyDescent="0.25">
      <c r="A319" s="735"/>
      <c r="B319" s="736"/>
      <c r="C319" s="120" t="str">
        <f>'натур показатели патриотика'!C293</f>
        <v>Маркер (набор)</v>
      </c>
      <c r="D319" s="69" t="str">
        <f>'натур показатели патриотика'!D293</f>
        <v>шт</v>
      </c>
      <c r="E319" s="181">
        <f>'таланты+инициативы'!D440</f>
        <v>0.26300000000000001</v>
      </c>
    </row>
    <row r="320" spans="1:5" x14ac:dyDescent="0.25">
      <c r="A320" s="735"/>
      <c r="B320" s="736"/>
      <c r="C320" s="120" t="str">
        <f>'натур показатели патриотика'!C294</f>
        <v>Маркер красный</v>
      </c>
      <c r="D320" s="69" t="str">
        <f>'натур показатели патриотика'!D294</f>
        <v>шт</v>
      </c>
      <c r="E320" s="181">
        <f>'таланты+инициативы'!D441</f>
        <v>1.052</v>
      </c>
    </row>
    <row r="321" spans="1:5" x14ac:dyDescent="0.25">
      <c r="A321" s="735"/>
      <c r="B321" s="736"/>
      <c r="C321" s="120" t="str">
        <f>'натур показатели патриотика'!C295</f>
        <v>Маркер (синий)</v>
      </c>
      <c r="D321" s="69" t="str">
        <f>'натур показатели патриотика'!D295</f>
        <v>шт</v>
      </c>
      <c r="E321" s="181">
        <f>'таланты+инициативы'!D442</f>
        <v>0.52600000000000002</v>
      </c>
    </row>
    <row r="322" spans="1:5" x14ac:dyDescent="0.25">
      <c r="A322" s="735"/>
      <c r="B322" s="736"/>
      <c r="C322" s="120" t="str">
        <f>'натур показатели патриотика'!C296</f>
        <v>Клей маленький</v>
      </c>
      <c r="D322" s="69" t="str">
        <f>'натур показатели патриотика'!D296</f>
        <v>шт</v>
      </c>
      <c r="E322" s="181">
        <f>'таланты+инициативы'!D443</f>
        <v>2.367</v>
      </c>
    </row>
    <row r="323" spans="1:5" x14ac:dyDescent="0.25">
      <c r="A323" s="735"/>
      <c r="B323" s="736"/>
      <c r="C323" s="120" t="str">
        <f>'натур показатели патриотика'!C297</f>
        <v>Клей большой</v>
      </c>
      <c r="D323" s="69" t="str">
        <f>'натур показатели патриотика'!D297</f>
        <v>шт</v>
      </c>
      <c r="E323" s="181">
        <f>'таланты+инициативы'!D444</f>
        <v>1.3149999999999999</v>
      </c>
    </row>
    <row r="324" spans="1:5" x14ac:dyDescent="0.25">
      <c r="A324" s="735"/>
      <c r="B324" s="736"/>
      <c r="C324" s="120" t="str">
        <f>'натур показатели патриотика'!C298</f>
        <v>Резак для резки бумаги</v>
      </c>
      <c r="D324" s="69" t="str">
        <f>'натур показатели патриотика'!D298</f>
        <v>шт</v>
      </c>
      <c r="E324" s="181">
        <f>'таланты+инициативы'!D445</f>
        <v>0.26300000000000001</v>
      </c>
    </row>
    <row r="325" spans="1:5" x14ac:dyDescent="0.25">
      <c r="A325" s="735"/>
      <c r="B325" s="736"/>
      <c r="C325" s="120" t="str">
        <f>'натур показатели патриотика'!C299</f>
        <v>Краска</v>
      </c>
      <c r="D325" s="69" t="str">
        <f>'натур показатели патриотика'!D299</f>
        <v>шт</v>
      </c>
      <c r="E325" s="181">
        <f>'таланты+инициативы'!D446</f>
        <v>0.26300000000000001</v>
      </c>
    </row>
    <row r="326" spans="1:5" x14ac:dyDescent="0.25">
      <c r="A326" s="735"/>
      <c r="B326" s="736"/>
      <c r="C326" s="120" t="str">
        <f>'натур показатели патриотика'!C300</f>
        <v>Зажим маленький</v>
      </c>
      <c r="D326" s="69" t="str">
        <f>'натур показатели патриотика'!D300</f>
        <v>шт</v>
      </c>
      <c r="E326" s="181">
        <f>'таланты+инициативы'!D447</f>
        <v>2.63</v>
      </c>
    </row>
    <row r="327" spans="1:5" x14ac:dyDescent="0.25">
      <c r="A327" s="735"/>
      <c r="B327" s="736"/>
      <c r="C327" s="120" t="str">
        <f>'натур показатели патриотика'!C301</f>
        <v>Зажим большой</v>
      </c>
      <c r="D327" s="69" t="str">
        <f>'натур показатели патриотика'!D301</f>
        <v>шт</v>
      </c>
      <c r="E327" s="181">
        <f>'таланты+инициативы'!D448</f>
        <v>2.63</v>
      </c>
    </row>
    <row r="328" spans="1:5" x14ac:dyDescent="0.25">
      <c r="A328" s="735"/>
      <c r="B328" s="736"/>
      <c r="C328" s="120" t="str">
        <f>'натур показатели патриотика'!C302</f>
        <v>Корректор ручка</v>
      </c>
      <c r="D328" s="69" t="str">
        <f>'натур показатели патриотика'!D302</f>
        <v>шт</v>
      </c>
      <c r="E328" s="181">
        <f>'таланты+инициативы'!D449</f>
        <v>0.52600000000000002</v>
      </c>
    </row>
    <row r="329" spans="1:5" x14ac:dyDescent="0.25">
      <c r="A329" s="735"/>
      <c r="B329" s="736"/>
      <c r="C329" s="120" t="str">
        <f>'натур показатели патриотика'!C303</f>
        <v>Корректор с кистью</v>
      </c>
      <c r="D329" s="69" t="str">
        <f>'натур показатели патриотика'!D303</f>
        <v>шт</v>
      </c>
      <c r="E329" s="181">
        <f>'таланты+инициативы'!D450</f>
        <v>0.52600000000000002</v>
      </c>
    </row>
    <row r="330" spans="1:5" x14ac:dyDescent="0.25">
      <c r="A330" s="735"/>
      <c r="B330" s="736"/>
      <c r="C330" s="120" t="str">
        <f>'натур показатели патриотика'!C304</f>
        <v>Скотч</v>
      </c>
      <c r="D330" s="69" t="str">
        <f>'натур показатели патриотика'!D304</f>
        <v>шт</v>
      </c>
      <c r="E330" s="181">
        <f>'таланты+инициативы'!D451</f>
        <v>1.3149999999999999</v>
      </c>
    </row>
    <row r="331" spans="1:5" x14ac:dyDescent="0.25">
      <c r="A331" s="735"/>
      <c r="B331" s="736"/>
      <c r="C331" s="120" t="str">
        <f>'натур показатели патриотика'!C305</f>
        <v>Нож канцелярский</v>
      </c>
      <c r="D331" s="69" t="str">
        <f>'натур показатели патриотика'!D305</f>
        <v>шт</v>
      </c>
      <c r="E331" s="181">
        <f>'таланты+инициативы'!D452</f>
        <v>3.1560000000000001</v>
      </c>
    </row>
    <row r="332" spans="1:5" x14ac:dyDescent="0.25">
      <c r="A332" s="735"/>
      <c r="B332" s="736"/>
      <c r="C332" s="120" t="str">
        <f>'натур показатели патриотика'!C306</f>
        <v>Нитки для сшивания (толстые)</v>
      </c>
      <c r="D332" s="69" t="str">
        <f>'натур показатели патриотика'!D306</f>
        <v>шт</v>
      </c>
      <c r="E332" s="181">
        <f>'таланты+инициативы'!D453</f>
        <v>0.26300000000000001</v>
      </c>
    </row>
    <row r="333" spans="1:5" x14ac:dyDescent="0.25">
      <c r="A333" s="735"/>
      <c r="B333" s="736"/>
      <c r="C333" s="120" t="str">
        <f>'натур показатели патриотика'!C307</f>
        <v>Шило</v>
      </c>
      <c r="D333" s="69" t="str">
        <f>'натур показатели патриотика'!D307</f>
        <v>шт</v>
      </c>
      <c r="E333" s="181">
        <f>'таланты+инициативы'!D454</f>
        <v>0.26300000000000001</v>
      </c>
    </row>
    <row r="334" spans="1:5" x14ac:dyDescent="0.25">
      <c r="A334" s="735"/>
      <c r="B334" s="736"/>
      <c r="C334" s="120" t="str">
        <f>'натур показатели патриотика'!C308</f>
        <v>Дырокол на 10 листов металл.</v>
      </c>
      <c r="D334" s="69" t="str">
        <f>'натур показатели патриотика'!D308</f>
        <v>шт</v>
      </c>
      <c r="E334" s="181">
        <f>'таланты+инициативы'!D455</f>
        <v>1.052</v>
      </c>
    </row>
    <row r="335" spans="1:5" x14ac:dyDescent="0.25">
      <c r="A335" s="735"/>
      <c r="B335" s="736"/>
      <c r="C335" s="120" t="str">
        <f>'натур показатели патриотика'!C309</f>
        <v>Дырокол на 70 листов черный</v>
      </c>
      <c r="D335" s="69" t="str">
        <f>'натур показатели патриотика'!D309</f>
        <v>шт</v>
      </c>
      <c r="E335" s="181">
        <f>'таланты+инициативы'!D456</f>
        <v>0.26300000000000001</v>
      </c>
    </row>
    <row r="336" spans="1:5" x14ac:dyDescent="0.25">
      <c r="A336" s="735"/>
      <c r="B336" s="736"/>
      <c r="C336" s="120" t="str">
        <f>'натур показатели патриотика'!C310</f>
        <v>Карандаш простой</v>
      </c>
      <c r="D336" s="69" t="str">
        <f>'натур показатели патриотика'!D310</f>
        <v>шт</v>
      </c>
      <c r="E336" s="181">
        <f>'таланты+инициативы'!D457</f>
        <v>2.63</v>
      </c>
    </row>
    <row r="337" spans="1:5" x14ac:dyDescent="0.25">
      <c r="A337" s="735"/>
      <c r="B337" s="736"/>
      <c r="C337" s="120" t="str">
        <f>'натур показатели патриотика'!C311</f>
        <v>Ручка</v>
      </c>
      <c r="D337" s="69" t="str">
        <f>'натур показатели патриотика'!D311</f>
        <v>шт</v>
      </c>
      <c r="E337" s="181">
        <f>'таланты+инициативы'!D458</f>
        <v>0.26300000000000001</v>
      </c>
    </row>
    <row r="338" spans="1:5" x14ac:dyDescent="0.25">
      <c r="A338" s="735"/>
      <c r="B338" s="736"/>
      <c r="C338" s="120" t="str">
        <f>'натур показатели патриотика'!C312</f>
        <v>Полотенце</v>
      </c>
      <c r="D338" s="69" t="str">
        <f>'натур показатели патриотика'!D312</f>
        <v>шт</v>
      </c>
      <c r="E338" s="181">
        <f>'таланты+инициативы'!D459</f>
        <v>1.3149999999999999</v>
      </c>
    </row>
    <row r="339" spans="1:5" x14ac:dyDescent="0.25">
      <c r="A339" s="735"/>
      <c r="B339" s="736"/>
      <c r="C339" s="120" t="str">
        <f>'натур показатели патриотика'!C313</f>
        <v>Комплект веник-совок</v>
      </c>
      <c r="D339" s="69" t="str">
        <f>'натур показатели патриотика'!D313</f>
        <v>шт</v>
      </c>
      <c r="E339" s="181">
        <f>'таланты+инициативы'!D460</f>
        <v>0.78900000000000003</v>
      </c>
    </row>
    <row r="340" spans="1:5" x14ac:dyDescent="0.25">
      <c r="A340" s="735"/>
      <c r="B340" s="736"/>
      <c r="C340" s="120" t="str">
        <f>'натур показатели патриотика'!C314</f>
        <v>Насадки на швабру</v>
      </c>
      <c r="D340" s="69" t="str">
        <f>'натур показатели патриотика'!D314</f>
        <v>шт</v>
      </c>
      <c r="E340" s="181">
        <f>'таланты+инициативы'!D461</f>
        <v>1.052</v>
      </c>
    </row>
    <row r="341" spans="1:5" x14ac:dyDescent="0.25">
      <c r="A341" s="735"/>
      <c r="B341" s="736"/>
      <c r="C341" s="120" t="str">
        <f>'натур показатели патриотика'!C315</f>
        <v>Бумага Svetocopy</v>
      </c>
      <c r="D341" s="69" t="str">
        <f>'натур показатели патриотика'!D315</f>
        <v>шт</v>
      </c>
      <c r="E341" s="181">
        <f>'таланты+инициативы'!D462</f>
        <v>7.8900000000000006</v>
      </c>
    </row>
    <row r="342" spans="1:5" x14ac:dyDescent="0.25">
      <c r="A342" s="735"/>
      <c r="B342" s="736"/>
      <c r="C342" s="120" t="str">
        <f>'натур показатели патриотика'!C316</f>
        <v>Папка накопитель</v>
      </c>
      <c r="D342" s="69" t="str">
        <f>'натур показатели патриотика'!D316</f>
        <v>шт</v>
      </c>
      <c r="E342" s="181">
        <f>'таланты+инициативы'!D463</f>
        <v>0.26300000000000001</v>
      </c>
    </row>
    <row r="343" spans="1:5" x14ac:dyDescent="0.25">
      <c r="A343" s="735"/>
      <c r="B343" s="736"/>
      <c r="C343" s="120" t="str">
        <f>'натур показатели патриотика'!C317</f>
        <v>Набор пил колец</v>
      </c>
      <c r="D343" s="69" t="str">
        <f>'натур показатели патриотика'!D317</f>
        <v>шт</v>
      </c>
      <c r="E343" s="181">
        <f>'таланты+инициативы'!D464</f>
        <v>0.26300000000000001</v>
      </c>
    </row>
    <row r="344" spans="1:5" x14ac:dyDescent="0.25">
      <c r="A344" s="735"/>
      <c r="B344" s="736"/>
      <c r="C344" s="120" t="str">
        <f>'натур показатели патриотика'!C318</f>
        <v>Клей</v>
      </c>
      <c r="D344" s="360" t="s">
        <v>91</v>
      </c>
      <c r="E344" s="181">
        <f>'таланты+инициативы'!D465</f>
        <v>0.26300000000000001</v>
      </c>
    </row>
    <row r="345" spans="1:5" x14ac:dyDescent="0.25">
      <c r="A345" s="735"/>
      <c r="B345" s="736"/>
      <c r="C345" s="120" t="str">
        <f>'натур показатели патриотика'!C319</f>
        <v>Крышка горловины</v>
      </c>
      <c r="D345" s="360" t="s">
        <v>91</v>
      </c>
      <c r="E345" s="181">
        <f>'таланты+инициативы'!D466</f>
        <v>0.52600000000000002</v>
      </c>
    </row>
    <row r="346" spans="1:5" x14ac:dyDescent="0.25">
      <c r="A346" s="735"/>
      <c r="B346" s="736"/>
      <c r="C346" s="120" t="str">
        <f>'натур показатели патриотика'!C320</f>
        <v>папка скоросшиватель</v>
      </c>
      <c r="D346" s="360" t="s">
        <v>91</v>
      </c>
      <c r="E346" s="181">
        <f>'таланты+инициативы'!D467</f>
        <v>2.63</v>
      </c>
    </row>
    <row r="347" spans="1:5" x14ac:dyDescent="0.25">
      <c r="A347" s="735"/>
      <c r="B347" s="736"/>
      <c r="C347" s="120" t="str">
        <f>'натур показатели патриотика'!C321</f>
        <v>Прессвол РОР-АР 3,5*2,3м</v>
      </c>
      <c r="D347" s="360" t="s">
        <v>91</v>
      </c>
      <c r="E347" s="181">
        <f>'таланты+инициативы'!D468</f>
        <v>0.26300000000000001</v>
      </c>
    </row>
    <row r="348" spans="1:5" x14ac:dyDescent="0.25">
      <c r="A348" s="735"/>
      <c r="B348" s="736"/>
      <c r="C348" s="120" t="str">
        <f>'натур показатели патриотика'!C322</f>
        <v>плинтус кабель-канал</v>
      </c>
      <c r="D348" s="360" t="s">
        <v>91</v>
      </c>
      <c r="E348" s="181">
        <f>'таланты+инициативы'!D469</f>
        <v>0.78900000000000003</v>
      </c>
    </row>
    <row r="349" spans="1:5" x14ac:dyDescent="0.25">
      <c r="A349" s="735"/>
      <c r="B349" s="736"/>
      <c r="C349" s="120" t="str">
        <f>'натур показатели патриотика'!C323</f>
        <v>валик малярный L</v>
      </c>
      <c r="D349" s="360" t="s">
        <v>91</v>
      </c>
      <c r="E349" s="181">
        <f>'таланты+инициативы'!D470</f>
        <v>0.52600000000000002</v>
      </c>
    </row>
    <row r="350" spans="1:5" x14ac:dyDescent="0.25">
      <c r="A350" s="735"/>
      <c r="B350" s="736"/>
      <c r="C350" s="120" t="str">
        <f>'натур показатели патриотика'!C324</f>
        <v>валик малярный профи</v>
      </c>
      <c r="D350" s="360" t="s">
        <v>91</v>
      </c>
      <c r="E350" s="181">
        <f>'таланты+инициативы'!D471</f>
        <v>0.52600000000000002</v>
      </c>
    </row>
    <row r="351" spans="1:5" x14ac:dyDescent="0.25">
      <c r="A351" s="735"/>
      <c r="B351" s="736"/>
      <c r="C351" s="120" t="str">
        <f>'натур показатели патриотика'!C325</f>
        <v>кабель-канал</v>
      </c>
      <c r="D351" s="360" t="s">
        <v>91</v>
      </c>
      <c r="E351" s="181">
        <f>'таланты+инициативы'!D472</f>
        <v>1.3149999999999999</v>
      </c>
    </row>
    <row r="352" spans="1:5" x14ac:dyDescent="0.25">
      <c r="A352" s="735"/>
      <c r="B352" s="736"/>
      <c r="C352" s="120" t="str">
        <f>'натур показатели патриотика'!C326</f>
        <v>ванночка малярная</v>
      </c>
      <c r="D352" s="360" t="s">
        <v>91</v>
      </c>
      <c r="E352" s="181">
        <f>'таланты+инициативы'!D473</f>
        <v>0.52600000000000002</v>
      </c>
    </row>
    <row r="353" spans="1:5" x14ac:dyDescent="0.25">
      <c r="A353" s="735"/>
      <c r="B353" s="736"/>
      <c r="C353" s="120" t="str">
        <f>'натур показатели патриотика'!C327</f>
        <v>шайба крановая</v>
      </c>
      <c r="D353" s="360" t="s">
        <v>91</v>
      </c>
      <c r="E353" s="181">
        <f>'таланты+инициативы'!D474</f>
        <v>5.26</v>
      </c>
    </row>
    <row r="354" spans="1:5" x14ac:dyDescent="0.25">
      <c r="A354" s="735"/>
      <c r="B354" s="736"/>
      <c r="C354" s="120" t="str">
        <f>'натур показатели патриотика'!C328</f>
        <v>эмаль аэрозоль</v>
      </c>
      <c r="D354" s="360" t="s">
        <v>91</v>
      </c>
      <c r="E354" s="181">
        <f>'таланты+инициативы'!D475</f>
        <v>0.52600000000000002</v>
      </c>
    </row>
    <row r="355" spans="1:5" x14ac:dyDescent="0.25">
      <c r="A355" s="735"/>
      <c r="B355" s="736"/>
      <c r="C355" s="120" t="str">
        <f>'натур показатели патриотика'!C329</f>
        <v>Папка-регистратор</v>
      </c>
      <c r="D355" s="360" t="s">
        <v>91</v>
      </c>
      <c r="E355" s="181">
        <f>'таланты+инициативы'!D476</f>
        <v>5.7860000000000005</v>
      </c>
    </row>
    <row r="356" spans="1:5" x14ac:dyDescent="0.25">
      <c r="A356" s="735"/>
      <c r="B356" s="736"/>
      <c r="C356" s="120" t="str">
        <f>'натур показатели патриотика'!C330</f>
        <v>Блок питания</v>
      </c>
      <c r="D356" s="360" t="s">
        <v>91</v>
      </c>
      <c r="E356" s="181">
        <f>'таланты+инициативы'!D477</f>
        <v>0.26300000000000001</v>
      </c>
    </row>
    <row r="357" spans="1:5" x14ac:dyDescent="0.25">
      <c r="A357" s="735"/>
      <c r="B357" s="736"/>
      <c r="C357" s="120" t="str">
        <f>'натур показатели патриотика'!C331</f>
        <v>Кабель</v>
      </c>
      <c r="D357" s="360" t="s">
        <v>91</v>
      </c>
      <c r="E357" s="181">
        <f>'таланты+инициативы'!D478</f>
        <v>0.78900000000000003</v>
      </c>
    </row>
    <row r="358" spans="1:5" x14ac:dyDescent="0.25">
      <c r="A358" s="735"/>
      <c r="B358" s="736"/>
      <c r="C358" s="120" t="str">
        <f>'натур показатели патриотика'!C332</f>
        <v>Карта памяти</v>
      </c>
      <c r="D358" s="360" t="s">
        <v>91</v>
      </c>
      <c r="E358" s="181">
        <f>'таланты+инициативы'!D479</f>
        <v>0.52600000000000002</v>
      </c>
    </row>
    <row r="359" spans="1:5" x14ac:dyDescent="0.25">
      <c r="A359" s="735"/>
      <c r="B359" s="736"/>
      <c r="C359" s="120" t="str">
        <f>'натур показатели патриотика'!C333</f>
        <v>Кабель</v>
      </c>
      <c r="D359" s="360" t="s">
        <v>91</v>
      </c>
      <c r="E359" s="181">
        <f>'таланты+инициативы'!D480</f>
        <v>0.26300000000000001</v>
      </c>
    </row>
    <row r="360" spans="1:5" x14ac:dyDescent="0.25">
      <c r="A360" s="735"/>
      <c r="B360" s="736"/>
      <c r="C360" s="120" t="str">
        <f>'натур показатели патриотика'!C334</f>
        <v>Бумага Lomond 230</v>
      </c>
      <c r="D360" s="360" t="s">
        <v>91</v>
      </c>
      <c r="E360" s="181">
        <f>'таланты+инициативы'!D481</f>
        <v>0.52600000000000002</v>
      </c>
    </row>
    <row r="361" spans="1:5" x14ac:dyDescent="0.25">
      <c r="A361" s="735"/>
      <c r="B361" s="736"/>
      <c r="C361" s="120" t="str">
        <f>'натур показатели патриотика'!C335</f>
        <v>Бумага Lomond 140</v>
      </c>
      <c r="D361" s="360" t="s">
        <v>91</v>
      </c>
      <c r="E361" s="181">
        <f>'таланты+инициативы'!D482</f>
        <v>0.52600000000000002</v>
      </c>
    </row>
    <row r="362" spans="1:5" x14ac:dyDescent="0.25">
      <c r="A362" s="735"/>
      <c r="B362" s="736"/>
      <c r="C362" s="120" t="str">
        <f>'натур показатели патриотика'!C336</f>
        <v>Бумага Lomond 200</v>
      </c>
      <c r="D362" s="360" t="s">
        <v>91</v>
      </c>
      <c r="E362" s="181">
        <f>'таланты+инициативы'!D483</f>
        <v>0.52600000000000002</v>
      </c>
    </row>
    <row r="363" spans="1:5" x14ac:dyDescent="0.25">
      <c r="A363" s="735"/>
      <c r="B363" s="736"/>
      <c r="C363" s="120" t="str">
        <f>'натур показатели патриотика'!C337</f>
        <v>Бумага Cactus 180</v>
      </c>
      <c r="D363" s="360" t="s">
        <v>91</v>
      </c>
      <c r="E363" s="181">
        <f>'таланты+инициативы'!D484</f>
        <v>0.52600000000000002</v>
      </c>
    </row>
    <row r="364" spans="1:5" x14ac:dyDescent="0.25">
      <c r="A364" s="735"/>
      <c r="B364" s="736"/>
      <c r="C364" s="120" t="str">
        <f>'натур показатели патриотика'!C338</f>
        <v>Бумага Cactus 230</v>
      </c>
      <c r="D364" s="360" t="s">
        <v>91</v>
      </c>
      <c r="E364" s="181">
        <f>'таланты+инициативы'!D485</f>
        <v>0.52600000000000002</v>
      </c>
    </row>
    <row r="365" spans="1:5" x14ac:dyDescent="0.25">
      <c r="A365" s="735"/>
      <c r="B365" s="736"/>
      <c r="C365" s="120" t="str">
        <f>'натур показатели патриотика'!C339</f>
        <v>Бумага офисная А3</v>
      </c>
      <c r="D365" s="360" t="s">
        <v>91</v>
      </c>
      <c r="E365" s="181">
        <f>'таланты+инициативы'!D486</f>
        <v>1.3149999999999999</v>
      </c>
    </row>
    <row r="366" spans="1:5" x14ac:dyDescent="0.25">
      <c r="A366" s="735"/>
      <c r="B366" s="736"/>
      <c r="C366" s="120" t="str">
        <f>'натур показатели патриотика'!C340</f>
        <v>Бумага Lomond А3</v>
      </c>
      <c r="D366" s="360" t="s">
        <v>91</v>
      </c>
      <c r="E366" s="181">
        <f>'таланты+инициативы'!D487</f>
        <v>1.052</v>
      </c>
    </row>
    <row r="367" spans="1:5" x14ac:dyDescent="0.25">
      <c r="A367" s="735"/>
      <c r="B367" s="736"/>
      <c r="C367" s="120" t="str">
        <f>'натур показатели патриотика'!C341</f>
        <v>Папка-регистратор</v>
      </c>
      <c r="D367" s="360" t="s">
        <v>91</v>
      </c>
      <c r="E367" s="181">
        <f>'таланты+инициативы'!D488</f>
        <v>2.63</v>
      </c>
    </row>
    <row r="368" spans="1:5" x14ac:dyDescent="0.25">
      <c r="A368" s="735"/>
      <c r="B368" s="736"/>
      <c r="C368" s="120" t="str">
        <f>'натур показатели патриотика'!C342</f>
        <v>Блокнот для флипчарта</v>
      </c>
      <c r="D368" s="360" t="s">
        <v>91</v>
      </c>
      <c r="E368" s="181">
        <f>'таланты+инициативы'!D489</f>
        <v>1.3149999999999999</v>
      </c>
    </row>
    <row r="369" spans="1:5" x14ac:dyDescent="0.25">
      <c r="A369" s="735"/>
      <c r="B369" s="736"/>
      <c r="C369" s="120" t="str">
        <f>'натур показатели патриотика'!C343</f>
        <v>Чернила для заправки комплект</v>
      </c>
      <c r="D369" s="360" t="s">
        <v>91</v>
      </c>
      <c r="E369" s="181">
        <f>'таланты+инициативы'!D490</f>
        <v>1.052</v>
      </c>
    </row>
    <row r="370" spans="1:5" x14ac:dyDescent="0.25">
      <c r="A370" s="735"/>
      <c r="B370" s="736"/>
      <c r="C370" s="120" t="str">
        <f>'натур показатели патриотика'!C344</f>
        <v>гвозди строит</v>
      </c>
      <c r="D370" s="360" t="s">
        <v>91</v>
      </c>
      <c r="E370" s="181">
        <f>'таланты+инициативы'!D491</f>
        <v>0.52600000000000002</v>
      </c>
    </row>
    <row r="371" spans="1:5" x14ac:dyDescent="0.25">
      <c r="A371" s="735"/>
      <c r="B371" s="736"/>
      <c r="C371" s="120" t="str">
        <f>'натур показатели патриотика'!C345</f>
        <v>гвозди строит</v>
      </c>
      <c r="D371" s="360" t="s">
        <v>91</v>
      </c>
      <c r="E371" s="181">
        <f>'таланты+инициативы'!D492</f>
        <v>7.8900000000000006</v>
      </c>
    </row>
    <row r="372" spans="1:5" x14ac:dyDescent="0.25">
      <c r="A372" s="735"/>
      <c r="B372" s="736"/>
      <c r="C372" s="120" t="str">
        <f>'натур показатели патриотика'!C346</f>
        <v>Помпа дополнительная</v>
      </c>
      <c r="D372" s="360" t="s">
        <v>91</v>
      </c>
      <c r="E372" s="181">
        <f>'таланты+инициативы'!D493</f>
        <v>0.26300000000000001</v>
      </c>
    </row>
    <row r="373" spans="1:5" x14ac:dyDescent="0.25">
      <c r="A373" s="735"/>
      <c r="B373" s="736"/>
      <c r="C373" s="120" t="str">
        <f>'натур показатели патриотика'!C347</f>
        <v>уголок крепежный</v>
      </c>
      <c r="D373" s="360" t="s">
        <v>91</v>
      </c>
      <c r="E373" s="181">
        <f>'таланты+инициативы'!D494</f>
        <v>52.6</v>
      </c>
    </row>
    <row r="374" spans="1:5" x14ac:dyDescent="0.25">
      <c r="A374" s="735"/>
      <c r="B374" s="736"/>
      <c r="C374" s="120" t="str">
        <f>'натур показатели патриотика'!C348</f>
        <v>саморез</v>
      </c>
      <c r="D374" s="360" t="s">
        <v>91</v>
      </c>
      <c r="E374" s="181">
        <f>'таланты+инициативы'!D495</f>
        <v>65.75</v>
      </c>
    </row>
    <row r="375" spans="1:5" x14ac:dyDescent="0.25">
      <c r="A375" s="735"/>
      <c r="B375" s="736"/>
      <c r="C375" s="120" t="str">
        <f>'натур показатели патриотика'!C349</f>
        <v>гвозди строит</v>
      </c>
      <c r="D375" s="360" t="s">
        <v>91</v>
      </c>
      <c r="E375" s="181">
        <f>'таланты+инициативы'!D496</f>
        <v>0.26300000000000001</v>
      </c>
    </row>
    <row r="376" spans="1:5" x14ac:dyDescent="0.25">
      <c r="A376" s="735"/>
      <c r="B376" s="736"/>
      <c r="C376" s="120" t="str">
        <f>'натур показатели патриотика'!C350</f>
        <v>стяжка для проводов</v>
      </c>
      <c r="D376" s="360" t="s">
        <v>91</v>
      </c>
      <c r="E376" s="181">
        <f>'таланты+инициативы'!D497</f>
        <v>0.52600000000000002</v>
      </c>
    </row>
    <row r="377" spans="1:5" x14ac:dyDescent="0.25">
      <c r="A377" s="735"/>
      <c r="B377" s="736"/>
      <c r="C377" s="120" t="str">
        <f>'натур показатели патриотика'!C351</f>
        <v>стяжка для проводов</v>
      </c>
      <c r="D377" s="360" t="s">
        <v>91</v>
      </c>
      <c r="E377" s="181">
        <f>'таланты+инициативы'!D498</f>
        <v>0.52600000000000002</v>
      </c>
    </row>
    <row r="378" spans="1:5" x14ac:dyDescent="0.25">
      <c r="A378" s="735"/>
      <c r="B378" s="736"/>
      <c r="C378" s="120" t="str">
        <f>'натур показатели патриотика'!C352</f>
        <v>гвозди строит</v>
      </c>
      <c r="D378" s="360" t="s">
        <v>91</v>
      </c>
      <c r="E378" s="181">
        <f>'таланты+инициативы'!D499</f>
        <v>0.26300000000000001</v>
      </c>
    </row>
    <row r="379" spans="1:5" x14ac:dyDescent="0.25">
      <c r="A379" s="735"/>
      <c r="B379" s="736"/>
      <c r="C379" s="120" t="str">
        <f>'натур показатели патриотика'!C353</f>
        <v>Стойки, втулки Хёндай</v>
      </c>
      <c r="D379" s="360" t="s">
        <v>91</v>
      </c>
      <c r="E379" s="181">
        <f>'таланты+инициативы'!D500</f>
        <v>2.63</v>
      </c>
    </row>
    <row r="380" spans="1:5" x14ac:dyDescent="0.25">
      <c r="A380" s="735"/>
      <c r="B380" s="736"/>
      <c r="C380" s="120" t="str">
        <f>'натур показатели патриотика'!C354</f>
        <v xml:space="preserve">хозяйственно-бытовые товары </v>
      </c>
      <c r="D380" s="360" t="s">
        <v>91</v>
      </c>
      <c r="E380" s="181">
        <f>'таланты+инициативы'!D501</f>
        <v>115.72</v>
      </c>
    </row>
    <row r="381" spans="1:5" x14ac:dyDescent="0.25">
      <c r="A381" s="735"/>
      <c r="B381" s="736"/>
      <c r="C381" s="120" t="str">
        <f>'натур показатели патриотика'!C355</f>
        <v>антифриз для УАЗ</v>
      </c>
      <c r="D381" s="360" t="s">
        <v>91</v>
      </c>
      <c r="E381" s="181">
        <f>'таланты+инициативы'!D502</f>
        <v>0.52600000000000002</v>
      </c>
    </row>
    <row r="382" spans="1:5" x14ac:dyDescent="0.25">
      <c r="A382" s="735"/>
      <c r="B382" s="736"/>
    </row>
    <row r="383" spans="1:5" x14ac:dyDescent="0.25">
      <c r="A383" s="735"/>
      <c r="B383" s="736"/>
    </row>
  </sheetData>
  <mergeCells count="18">
    <mergeCell ref="C118:E118"/>
    <mergeCell ref="C126:E126"/>
    <mergeCell ref="C131:E131"/>
    <mergeCell ref="C136:E136"/>
    <mergeCell ref="A7:A383"/>
    <mergeCell ref="B7:B383"/>
    <mergeCell ref="C11:E11"/>
    <mergeCell ref="C15:E15"/>
    <mergeCell ref="C76:E76"/>
    <mergeCell ref="C140:E140"/>
    <mergeCell ref="C142:E142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5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M511"/>
  <sheetViews>
    <sheetView tabSelected="1" zoomScale="90" zoomScaleNormal="90" zoomScaleSheetLayoutView="85" zoomScalePageLayoutView="70" workbookViewId="0">
      <selection activeCell="A3" sqref="A3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200" customWidth="1"/>
    <col min="8" max="9" width="21.25" style="45" customWidth="1"/>
    <col min="10" max="10" width="18.625" style="45" customWidth="1"/>
    <col min="11" max="11" width="20.125" style="45" customWidth="1"/>
    <col min="12" max="12" width="12.375" style="45" bestFit="1" customWidth="1"/>
    <col min="13" max="13" width="14.875" style="45" customWidth="1"/>
    <col min="14" max="16384" width="8.875" style="45"/>
  </cols>
  <sheetData>
    <row r="1" spans="1:10" ht="16.5" x14ac:dyDescent="0.25">
      <c r="A1" s="746" t="str">
        <f>патриотика!A1</f>
        <v>Учреждение: Муниципальное бюджетное учреждение  «Молодежный центр » Северо- Енисейского района</v>
      </c>
      <c r="B1" s="746"/>
      <c r="C1" s="746"/>
      <c r="D1" s="746"/>
      <c r="E1" s="746"/>
      <c r="F1" s="746"/>
      <c r="G1" s="746"/>
      <c r="H1" s="746"/>
      <c r="I1" s="746"/>
      <c r="J1" s="746"/>
    </row>
    <row r="2" spans="1:10" ht="16.5" x14ac:dyDescent="0.25">
      <c r="A2" s="343" t="s">
        <v>609</v>
      </c>
      <c r="B2" s="343"/>
      <c r="C2" s="343"/>
      <c r="D2" s="343"/>
      <c r="E2" s="343"/>
      <c r="F2" s="343"/>
      <c r="G2" s="343"/>
      <c r="H2" s="343"/>
      <c r="I2" s="481"/>
      <c r="J2" s="343"/>
    </row>
    <row r="3" spans="1:10" ht="58.15" customHeight="1" x14ac:dyDescent="0.25">
      <c r="A3" s="89" t="s">
        <v>602</v>
      </c>
      <c r="B3" s="747" t="s">
        <v>137</v>
      </c>
      <c r="C3" s="747"/>
      <c r="D3" s="747"/>
      <c r="E3" s="747"/>
      <c r="F3" s="747"/>
      <c r="G3" s="747"/>
      <c r="H3" s="747"/>
      <c r="I3" s="747"/>
      <c r="J3" s="747"/>
    </row>
    <row r="4" spans="1:10" ht="15.75" x14ac:dyDescent="0.25">
      <c r="A4" s="691" t="s">
        <v>54</v>
      </c>
      <c r="B4" s="691"/>
      <c r="C4" s="691"/>
      <c r="D4" s="691"/>
      <c r="E4" s="691"/>
      <c r="F4" s="7"/>
      <c r="G4" s="179"/>
      <c r="H4" s="7"/>
      <c r="I4" s="7"/>
      <c r="J4" s="7"/>
    </row>
    <row r="5" spans="1:10" ht="15.75" x14ac:dyDescent="0.25">
      <c r="A5" s="692" t="s">
        <v>45</v>
      </c>
      <c r="B5" s="692"/>
      <c r="C5" s="692"/>
      <c r="D5" s="692"/>
      <c r="E5" s="692"/>
      <c r="F5" s="7"/>
      <c r="G5" s="179"/>
      <c r="H5" s="7"/>
      <c r="I5" s="7"/>
      <c r="J5" s="7"/>
    </row>
    <row r="6" spans="1:10" ht="15.75" x14ac:dyDescent="0.25">
      <c r="A6" s="692" t="s">
        <v>290</v>
      </c>
      <c r="B6" s="692"/>
      <c r="C6" s="692"/>
      <c r="D6" s="692"/>
      <c r="E6" s="692"/>
      <c r="F6" s="7"/>
      <c r="G6" s="179"/>
      <c r="H6" s="7"/>
      <c r="I6" s="7"/>
      <c r="J6" s="7"/>
    </row>
    <row r="7" spans="1:10" ht="15.75" x14ac:dyDescent="0.25">
      <c r="A7" s="540" t="s">
        <v>50</v>
      </c>
      <c r="B7" s="540"/>
      <c r="C7" s="540"/>
      <c r="D7" s="540"/>
      <c r="E7" s="540"/>
      <c r="F7" s="7"/>
      <c r="G7" s="179"/>
      <c r="H7" s="7"/>
      <c r="I7" s="7"/>
      <c r="J7" s="7"/>
    </row>
    <row r="8" spans="1:10" ht="27.6" customHeight="1" x14ac:dyDescent="0.25">
      <c r="A8" s="109" t="s">
        <v>34</v>
      </c>
      <c r="B8" s="70" t="s">
        <v>9</v>
      </c>
      <c r="C8" s="71"/>
      <c r="D8" s="541" t="s">
        <v>10</v>
      </c>
      <c r="E8" s="542"/>
      <c r="F8" s="337" t="s">
        <v>9</v>
      </c>
      <c r="G8" s="179"/>
      <c r="H8" s="7"/>
      <c r="I8" s="7"/>
      <c r="J8" s="7"/>
    </row>
    <row r="9" spans="1:10" ht="15.75" x14ac:dyDescent="0.25">
      <c r="A9" s="109"/>
      <c r="B9" s="338"/>
      <c r="C9" s="338"/>
      <c r="D9" s="543" t="str">
        <f>'инновации+добровольчество'!D10:E10</f>
        <v>Заведующий МЦ</v>
      </c>
      <c r="E9" s="544"/>
      <c r="F9" s="72">
        <v>1</v>
      </c>
      <c r="G9" s="179"/>
      <c r="H9" s="7"/>
      <c r="I9" s="7"/>
      <c r="J9" s="7"/>
    </row>
    <row r="10" spans="1:10" ht="15.75" x14ac:dyDescent="0.25">
      <c r="A10" s="70" t="str">
        <f>'[1]2016'!$AE$19</f>
        <v>Специалист по работе с молодежью</v>
      </c>
      <c r="B10" s="338">
        <v>5.6</v>
      </c>
      <c r="C10" s="338"/>
      <c r="D10" s="545" t="str">
        <f>'[1]2016'!$AE$25</f>
        <v>Водитель</v>
      </c>
      <c r="E10" s="546"/>
      <c r="F10" s="338">
        <v>1</v>
      </c>
      <c r="G10" s="179"/>
      <c r="H10" s="7"/>
      <c r="I10" s="7"/>
      <c r="J10" s="7"/>
    </row>
    <row r="11" spans="1:10" ht="15.75" x14ac:dyDescent="0.25">
      <c r="A11" s="70" t="s">
        <v>102</v>
      </c>
      <c r="B11" s="338">
        <v>1</v>
      </c>
      <c r="C11" s="338"/>
      <c r="D11" s="545" t="s">
        <v>96</v>
      </c>
      <c r="E11" s="546"/>
      <c r="F11" s="338">
        <v>0.5</v>
      </c>
      <c r="G11" s="179"/>
      <c r="H11" s="7"/>
      <c r="I11" s="7"/>
      <c r="J11" s="7"/>
    </row>
    <row r="12" spans="1:10" ht="15.75" x14ac:dyDescent="0.25">
      <c r="A12" s="109"/>
      <c r="B12" s="338"/>
      <c r="C12" s="338"/>
      <c r="D12" s="545" t="str">
        <f>'[1]2016'!$AE$26</f>
        <v xml:space="preserve">Уборщик служебных помещений </v>
      </c>
      <c r="E12" s="546"/>
      <c r="F12" s="338">
        <v>1</v>
      </c>
      <c r="G12" s="179"/>
      <c r="H12" s="7"/>
      <c r="I12" s="7"/>
      <c r="J12" s="7"/>
    </row>
    <row r="13" spans="1:10" ht="15.75" x14ac:dyDescent="0.25">
      <c r="A13" s="73" t="s">
        <v>61</v>
      </c>
      <c r="B13" s="74">
        <f>SUM(B9:B11)</f>
        <v>6.6</v>
      </c>
      <c r="C13" s="73"/>
      <c r="D13" s="547" t="s">
        <v>61</v>
      </c>
      <c r="E13" s="548"/>
      <c r="F13" s="74">
        <f>SUM(F9:F12)</f>
        <v>3.5</v>
      </c>
      <c r="G13" s="179"/>
      <c r="H13" s="7"/>
      <c r="I13" s="7"/>
      <c r="J13" s="7"/>
    </row>
    <row r="14" spans="1:10" ht="36" customHeight="1" x14ac:dyDescent="0.25">
      <c r="A14" s="699" t="s">
        <v>605</v>
      </c>
      <c r="B14" s="699"/>
      <c r="C14" s="699"/>
      <c r="D14" s="699"/>
      <c r="E14" s="699"/>
      <c r="F14" s="699"/>
      <c r="G14" s="699"/>
      <c r="H14" s="699"/>
      <c r="I14" s="699"/>
      <c r="J14" s="699"/>
    </row>
    <row r="15" spans="1:10" ht="15.75" x14ac:dyDescent="0.25">
      <c r="A15" s="704" t="s">
        <v>217</v>
      </c>
      <c r="B15" s="704"/>
      <c r="C15" s="704"/>
      <c r="D15" s="704"/>
      <c r="E15" s="704"/>
      <c r="F15" s="704"/>
      <c r="G15" s="179"/>
      <c r="H15" s="7"/>
      <c r="I15" s="7"/>
      <c r="J15" s="7"/>
    </row>
    <row r="16" spans="1:10" ht="15.75" x14ac:dyDescent="0.25">
      <c r="A16" s="10" t="s">
        <v>207</v>
      </c>
      <c r="B16" s="10"/>
      <c r="C16" s="10"/>
      <c r="D16" s="10"/>
      <c r="E16" s="7"/>
      <c r="F16" s="7"/>
      <c r="G16" s="179"/>
      <c r="H16" s="7"/>
      <c r="I16" s="7"/>
      <c r="J16" s="7"/>
    </row>
    <row r="17" spans="1:13" ht="15.75" x14ac:dyDescent="0.25">
      <c r="A17" s="705" t="s">
        <v>47</v>
      </c>
      <c r="B17" s="705"/>
      <c r="C17" s="705"/>
      <c r="D17" s="705"/>
      <c r="E17" s="705"/>
      <c r="F17" s="705"/>
      <c r="G17" s="179"/>
      <c r="H17" s="7"/>
      <c r="I17" s="7"/>
      <c r="J17" s="7"/>
    </row>
    <row r="18" spans="1:13" ht="15.75" x14ac:dyDescent="0.25">
      <c r="A18" s="703" t="s">
        <v>218</v>
      </c>
      <c r="B18" s="703"/>
      <c r="C18" s="339"/>
      <c r="D18" s="168">
        <v>0.26300000000000001</v>
      </c>
      <c r="E18" s="168"/>
      <c r="F18" s="7"/>
      <c r="G18" s="179"/>
      <c r="H18" s="7"/>
      <c r="I18" s="7"/>
      <c r="J18" s="7"/>
    </row>
    <row r="19" spans="1:13" ht="110.25" x14ac:dyDescent="0.25">
      <c r="A19" s="683" t="s">
        <v>0</v>
      </c>
      <c r="B19" s="683" t="s">
        <v>1</v>
      </c>
      <c r="C19" s="334"/>
      <c r="D19" s="683" t="s">
        <v>2</v>
      </c>
      <c r="E19" s="684" t="s">
        <v>3</v>
      </c>
      <c r="F19" s="685"/>
      <c r="G19" s="739" t="s">
        <v>35</v>
      </c>
      <c r="H19" s="334" t="s">
        <v>5</v>
      </c>
      <c r="I19" s="478" t="s">
        <v>606</v>
      </c>
      <c r="J19" s="683" t="s">
        <v>6</v>
      </c>
    </row>
    <row r="20" spans="1:13" ht="15.75" x14ac:dyDescent="0.25">
      <c r="A20" s="683"/>
      <c r="B20" s="683"/>
      <c r="C20" s="334"/>
      <c r="D20" s="683"/>
      <c r="E20" s="334" t="s">
        <v>208</v>
      </c>
      <c r="F20" s="696" t="s">
        <v>211</v>
      </c>
      <c r="G20" s="739"/>
      <c r="H20" s="321" t="s">
        <v>183</v>
      </c>
      <c r="I20" s="475"/>
      <c r="J20" s="683"/>
    </row>
    <row r="21" spans="1:13" ht="15.75" x14ac:dyDescent="0.25">
      <c r="A21" s="683"/>
      <c r="B21" s="683"/>
      <c r="C21" s="334"/>
      <c r="D21" s="683"/>
      <c r="E21" s="334" t="s">
        <v>4</v>
      </c>
      <c r="F21" s="697"/>
      <c r="G21" s="739"/>
      <c r="H21" s="334" t="s">
        <v>209</v>
      </c>
      <c r="I21" s="478"/>
      <c r="J21" s="683"/>
    </row>
    <row r="22" spans="1:13" ht="15.75" x14ac:dyDescent="0.25">
      <c r="A22" s="683">
        <v>1</v>
      </c>
      <c r="B22" s="683">
        <v>2</v>
      </c>
      <c r="C22" s="334"/>
      <c r="D22" s="683">
        <v>3</v>
      </c>
      <c r="E22" s="683" t="s">
        <v>215</v>
      </c>
      <c r="F22" s="683">
        <v>5</v>
      </c>
      <c r="G22" s="587" t="s">
        <v>7</v>
      </c>
      <c r="H22" s="321" t="s">
        <v>184</v>
      </c>
      <c r="I22" s="475"/>
      <c r="J22" s="576" t="s">
        <v>185</v>
      </c>
    </row>
    <row r="23" spans="1:13" ht="15.75" x14ac:dyDescent="0.25">
      <c r="A23" s="683"/>
      <c r="B23" s="683"/>
      <c r="C23" s="334"/>
      <c r="D23" s="683"/>
      <c r="E23" s="683"/>
      <c r="F23" s="683"/>
      <c r="G23" s="587"/>
      <c r="H23" s="54">
        <v>1775.4</v>
      </c>
      <c r="I23" s="54"/>
      <c r="J23" s="576"/>
      <c r="K23" s="195">
        <f>J26+H143</f>
        <v>1676174.3650770402</v>
      </c>
      <c r="L23" s="196"/>
      <c r="M23" s="7"/>
    </row>
    <row r="24" spans="1:13" ht="15.75" x14ac:dyDescent="0.25">
      <c r="A24" s="75" t="str">
        <f>патриотика!A24</f>
        <v>Методист</v>
      </c>
      <c r="B24" s="90">
        <f>патриотика!B24</f>
        <v>53969.5</v>
      </c>
      <c r="C24" s="90"/>
      <c r="D24" s="334">
        <f>1*D18</f>
        <v>0.26300000000000001</v>
      </c>
      <c r="E24" s="76">
        <f>D24*1775.4</f>
        <v>466.93020000000007</v>
      </c>
      <c r="F24" s="77">
        <v>1</v>
      </c>
      <c r="G24" s="79">
        <f>E24/F24</f>
        <v>466.93020000000007</v>
      </c>
      <c r="H24" s="76">
        <f>B24*1.302/1775.4*12</f>
        <v>474.94619128083815</v>
      </c>
      <c r="I24" s="76">
        <v>945.64</v>
      </c>
      <c r="J24" s="76">
        <f>G24*H24+I24</f>
        <v>222712.36008400007</v>
      </c>
      <c r="K24" s="7">
        <f>1666969.34-315.6+9520.63</f>
        <v>1676174.3699999999</v>
      </c>
      <c r="L24" s="195" t="s">
        <v>114</v>
      </c>
      <c r="M24" s="7"/>
    </row>
    <row r="25" spans="1:13" ht="15.75" x14ac:dyDescent="0.25">
      <c r="A25" s="78" t="str">
        <f>A10</f>
        <v>Специалист по работе с молодежью</v>
      </c>
      <c r="B25" s="194">
        <f>патриотика!B25</f>
        <v>38488.199999999997</v>
      </c>
      <c r="C25" s="194"/>
      <c r="D25" s="334">
        <f>D18*5.6</f>
        <v>1.4727999999999999</v>
      </c>
      <c r="E25" s="76">
        <f>D25*1775.4</f>
        <v>2614.8091199999999</v>
      </c>
      <c r="F25" s="77">
        <v>1</v>
      </c>
      <c r="G25" s="79">
        <f>E25/F25</f>
        <v>2614.8091199999999</v>
      </c>
      <c r="H25" s="76">
        <f>B25*1.302/1775.4*12</f>
        <v>338.70656573166605</v>
      </c>
      <c r="I25" s="76">
        <v>5275.75</v>
      </c>
      <c r="J25" s="76">
        <f>G25*H25+6683.82-315.6+I25</f>
        <v>897296.9870790398</v>
      </c>
      <c r="K25" s="179">
        <f>K23-K24</f>
        <v>-4.9229597207158804E-3</v>
      </c>
      <c r="L25" s="195" t="s">
        <v>128</v>
      </c>
      <c r="M25" s="7"/>
    </row>
    <row r="26" spans="1:13" ht="18.75" x14ac:dyDescent="0.3">
      <c r="A26" s="75" t="s">
        <v>101</v>
      </c>
      <c r="B26" s="79"/>
      <c r="C26" s="79"/>
      <c r="D26" s="334"/>
      <c r="E26" s="76"/>
      <c r="F26" s="77"/>
      <c r="G26" s="202"/>
      <c r="H26" s="172"/>
      <c r="I26" s="172"/>
      <c r="J26" s="421">
        <f>SUM(J24:J25)</f>
        <v>1120009.34716304</v>
      </c>
      <c r="M26" s="200"/>
    </row>
    <row r="27" spans="1:13" s="7" customFormat="1" ht="16.5" hidden="1" x14ac:dyDescent="0.25">
      <c r="A27" s="588" t="s">
        <v>178</v>
      </c>
      <c r="B27" s="588"/>
      <c r="C27" s="588"/>
      <c r="D27" s="588"/>
      <c r="E27" s="588"/>
      <c r="F27" s="588"/>
      <c r="G27" s="588"/>
      <c r="H27" s="588"/>
      <c r="I27" s="476"/>
      <c r="J27" s="197"/>
      <c r="K27" s="195"/>
      <c r="L27" s="196"/>
    </row>
    <row r="28" spans="1:13" s="7" customFormat="1" ht="16.5" hidden="1" x14ac:dyDescent="0.25">
      <c r="A28" s="550" t="s">
        <v>65</v>
      </c>
      <c r="B28" s="555" t="s">
        <v>167</v>
      </c>
      <c r="C28" s="555"/>
      <c r="D28" s="555" t="s">
        <v>168</v>
      </c>
      <c r="E28" s="555"/>
      <c r="F28" s="555"/>
      <c r="G28" s="556"/>
      <c r="H28" s="556"/>
      <c r="I28" s="228"/>
      <c r="J28" s="197"/>
      <c r="K28" s="195"/>
      <c r="L28" s="196"/>
    </row>
    <row r="29" spans="1:13" s="7" customFormat="1" ht="16.5" hidden="1" x14ac:dyDescent="0.25">
      <c r="A29" s="554"/>
      <c r="B29" s="555"/>
      <c r="C29" s="555"/>
      <c r="D29" s="555" t="s">
        <v>169</v>
      </c>
      <c r="E29" s="550" t="s">
        <v>170</v>
      </c>
      <c r="F29" s="557" t="s">
        <v>171</v>
      </c>
      <c r="G29" s="550" t="s">
        <v>177</v>
      </c>
      <c r="H29" s="550" t="s">
        <v>6</v>
      </c>
      <c r="I29" s="749"/>
      <c r="J29" s="197"/>
      <c r="K29" s="195"/>
      <c r="L29" s="196"/>
    </row>
    <row r="30" spans="1:13" s="7" customFormat="1" ht="16.5" hidden="1" x14ac:dyDescent="0.25">
      <c r="A30" s="551"/>
      <c r="B30" s="555"/>
      <c r="C30" s="555"/>
      <c r="D30" s="555"/>
      <c r="E30" s="551"/>
      <c r="F30" s="557"/>
      <c r="G30" s="551"/>
      <c r="H30" s="551"/>
      <c r="I30" s="749"/>
      <c r="J30" s="197"/>
      <c r="K30" s="195"/>
      <c r="L30" s="196"/>
    </row>
    <row r="31" spans="1:13" s="7" customFormat="1" ht="16.5" hidden="1" x14ac:dyDescent="0.25">
      <c r="A31" s="328">
        <v>1</v>
      </c>
      <c r="B31" s="552">
        <v>2</v>
      </c>
      <c r="C31" s="553"/>
      <c r="D31" s="328">
        <v>3</v>
      </c>
      <c r="E31" s="328">
        <v>4</v>
      </c>
      <c r="F31" s="328">
        <v>5</v>
      </c>
      <c r="G31" s="328">
        <v>6</v>
      </c>
      <c r="H31" s="328">
        <v>7</v>
      </c>
      <c r="I31" s="228"/>
      <c r="J31" s="197"/>
      <c r="K31" s="195"/>
      <c r="L31" s="196"/>
    </row>
    <row r="32" spans="1:13" s="7" customFormat="1" ht="16.5" hidden="1" x14ac:dyDescent="0.25">
      <c r="A32" s="325" t="s">
        <v>102</v>
      </c>
      <c r="B32" s="325">
        <v>0.24</v>
      </c>
      <c r="C32" s="326">
        <v>1</v>
      </c>
      <c r="D32" s="162">
        <v>2074.6</v>
      </c>
      <c r="E32" s="121">
        <f t="shared" ref="E32:E33" si="0">D32*12</f>
        <v>24895.199999999997</v>
      </c>
      <c r="F32" s="162">
        <f>18363.9*0.24</f>
        <v>4407.3360000000002</v>
      </c>
      <c r="G32" s="198">
        <f>F32*30.2%</f>
        <v>1331.015472</v>
      </c>
      <c r="H32" s="198">
        <f>F32+G32</f>
        <v>5738.3514720000003</v>
      </c>
      <c r="I32" s="750"/>
      <c r="J32" s="197"/>
    </row>
    <row r="33" spans="1:12" s="7" customFormat="1" ht="15.6" hidden="1" customHeight="1" x14ac:dyDescent="0.25">
      <c r="A33" s="325" t="s">
        <v>173</v>
      </c>
      <c r="B33" s="552">
        <f>5.6*0.24</f>
        <v>1.3439999999999999</v>
      </c>
      <c r="C33" s="553"/>
      <c r="D33" s="162">
        <f>1302.85*B33</f>
        <v>1751.0303999999996</v>
      </c>
      <c r="E33" s="121">
        <f t="shared" si="0"/>
        <v>21012.364799999996</v>
      </c>
      <c r="F33" s="162">
        <f>64311.87*0.24</f>
        <v>15434.8488</v>
      </c>
      <c r="G33" s="198">
        <f>F33*30.2%</f>
        <v>4661.3243376</v>
      </c>
      <c r="H33" s="198">
        <f>F33+G33</f>
        <v>20096.173137599999</v>
      </c>
      <c r="I33" s="750"/>
    </row>
    <row r="34" spans="1:12" s="7" customFormat="1" ht="18.75" hidden="1" x14ac:dyDescent="0.25">
      <c r="A34" s="329"/>
      <c r="B34" s="549">
        <f>SUM(B32:C33)</f>
        <v>2.5839999999999996</v>
      </c>
      <c r="C34" s="549"/>
      <c r="D34" s="138">
        <f>SUM(D32:D33)</f>
        <v>3825.6303999999996</v>
      </c>
      <c r="E34" s="138">
        <f>SUM(E32:E33)</f>
        <v>45907.564799999993</v>
      </c>
      <c r="F34" s="138">
        <f>SUM(F32:F33)</f>
        <v>19842.184799999999</v>
      </c>
      <c r="G34" s="138">
        <f>SUM(G32:G33)</f>
        <v>5992.3398096000001</v>
      </c>
      <c r="H34" s="263"/>
      <c r="I34" s="250"/>
      <c r="J34" s="179"/>
    </row>
    <row r="35" spans="1:12" ht="14.45" hidden="1" customHeight="1" x14ac:dyDescent="0.25">
      <c r="A35" s="588" t="s">
        <v>182</v>
      </c>
      <c r="B35" s="588"/>
      <c r="C35" s="588"/>
      <c r="D35" s="588"/>
      <c r="E35" s="588"/>
      <c r="F35" s="588"/>
      <c r="G35" s="588"/>
      <c r="H35" s="588"/>
      <c r="I35" s="476"/>
      <c r="J35" s="163"/>
      <c r="K35" s="163"/>
    </row>
    <row r="36" spans="1:12" ht="28.9" hidden="1" customHeight="1" x14ac:dyDescent="0.25">
      <c r="A36" s="550" t="s">
        <v>65</v>
      </c>
      <c r="B36" s="555" t="s">
        <v>167</v>
      </c>
      <c r="C36" s="555"/>
      <c r="D36" s="579" t="s">
        <v>168</v>
      </c>
      <c r="E36" s="580"/>
      <c r="F36" s="330"/>
      <c r="G36" s="45"/>
    </row>
    <row r="37" spans="1:12" ht="14.45" hidden="1" customHeight="1" x14ac:dyDescent="0.25">
      <c r="A37" s="554"/>
      <c r="B37" s="555"/>
      <c r="C37" s="555"/>
      <c r="D37" s="555" t="s">
        <v>169</v>
      </c>
      <c r="E37" s="550" t="s">
        <v>177</v>
      </c>
      <c r="F37" s="550" t="s">
        <v>181</v>
      </c>
      <c r="G37" s="45"/>
    </row>
    <row r="38" spans="1:12" hidden="1" x14ac:dyDescent="0.25">
      <c r="A38" s="551"/>
      <c r="B38" s="555"/>
      <c r="C38" s="555"/>
      <c r="D38" s="555"/>
      <c r="E38" s="551"/>
      <c r="F38" s="551"/>
      <c r="G38" s="45"/>
    </row>
    <row r="39" spans="1:12" hidden="1" x14ac:dyDescent="0.25">
      <c r="A39" s="328">
        <v>1</v>
      </c>
      <c r="B39" s="552">
        <v>2</v>
      </c>
      <c r="C39" s="553"/>
      <c r="D39" s="328">
        <v>3</v>
      </c>
      <c r="E39" s="328">
        <v>6</v>
      </c>
      <c r="F39" s="328">
        <v>7</v>
      </c>
      <c r="G39" s="45"/>
    </row>
    <row r="40" spans="1:12" hidden="1" x14ac:dyDescent="0.25">
      <c r="A40" s="325" t="s">
        <v>173</v>
      </c>
      <c r="B40" s="552">
        <f>B33</f>
        <v>1.3439999999999999</v>
      </c>
      <c r="C40" s="553"/>
      <c r="D40" s="162">
        <v>4218.1400000000003</v>
      </c>
      <c r="E40" s="198">
        <f>D40*30.2%</f>
        <v>1273.8782800000001</v>
      </c>
      <c r="F40" s="198">
        <f>(E40+D40)*B40*12+8.27</f>
        <v>88583.540819839996</v>
      </c>
      <c r="G40" s="45"/>
    </row>
    <row r="41" spans="1:12" ht="18.75" hidden="1" x14ac:dyDescent="0.25">
      <c r="A41" s="329"/>
      <c r="B41" s="549">
        <f>SUM(B40:C40)</f>
        <v>1.3439999999999999</v>
      </c>
      <c r="C41" s="549"/>
      <c r="D41" s="138">
        <f>SUM(D40:D40)</f>
        <v>4218.1400000000003</v>
      </c>
      <c r="E41" s="138">
        <f>SUM(E40:E40)</f>
        <v>1273.8782800000001</v>
      </c>
      <c r="F41" s="263"/>
      <c r="G41" s="45"/>
    </row>
    <row r="42" spans="1:12" ht="15.75" x14ac:dyDescent="0.25">
      <c r="A42" s="699" t="s">
        <v>63</v>
      </c>
      <c r="B42" s="699"/>
      <c r="C42" s="699"/>
      <c r="D42" s="699"/>
      <c r="E42" s="699"/>
      <c r="F42" s="699"/>
      <c r="G42" s="179"/>
      <c r="H42" s="7"/>
      <c r="I42" s="7"/>
      <c r="J42" s="7"/>
    </row>
    <row r="43" spans="1:12" ht="15.75" x14ac:dyDescent="0.25">
      <c r="A43" s="340" t="s">
        <v>88</v>
      </c>
      <c r="B43" s="6" t="str">
        <f>'инновации+добровольчество'!B48</f>
        <v>10 командировок</v>
      </c>
      <c r="C43" s="6"/>
      <c r="D43" s="6"/>
      <c r="E43" s="7"/>
      <c r="F43" s="7"/>
      <c r="G43" s="179"/>
      <c r="H43" s="7"/>
      <c r="I43" s="7"/>
      <c r="J43" s="7"/>
      <c r="L43" s="200"/>
    </row>
    <row r="44" spans="1:12" ht="15.75" x14ac:dyDescent="0.25">
      <c r="A44" s="7"/>
      <c r="B44" s="7"/>
      <c r="C44" s="7"/>
      <c r="D44" s="170">
        <f>D18</f>
        <v>0.26300000000000001</v>
      </c>
      <c r="E44" s="7"/>
      <c r="F44" s="7"/>
      <c r="G44" s="179"/>
      <c r="H44" s="7"/>
      <c r="I44" s="7"/>
      <c r="J44" s="7"/>
    </row>
    <row r="45" spans="1:12" ht="15.75" x14ac:dyDescent="0.25">
      <c r="A45" s="683" t="s">
        <v>132</v>
      </c>
      <c r="B45" s="683"/>
      <c r="C45" s="334"/>
      <c r="D45" s="683" t="s">
        <v>11</v>
      </c>
      <c r="E45" s="696" t="s">
        <v>51</v>
      </c>
      <c r="F45" s="696" t="s">
        <v>15</v>
      </c>
      <c r="G45" s="737" t="s">
        <v>6</v>
      </c>
      <c r="H45" s="7"/>
      <c r="I45" s="7"/>
      <c r="J45" s="7"/>
    </row>
    <row r="46" spans="1:12" ht="7.15" customHeight="1" x14ac:dyDescent="0.25">
      <c r="A46" s="683"/>
      <c r="B46" s="683"/>
      <c r="C46" s="334"/>
      <c r="D46" s="683"/>
      <c r="E46" s="697"/>
      <c r="F46" s="697"/>
      <c r="G46" s="738"/>
      <c r="H46" s="7"/>
      <c r="I46" s="7"/>
      <c r="J46" s="7"/>
    </row>
    <row r="47" spans="1:12" ht="15.75" x14ac:dyDescent="0.25">
      <c r="A47" s="684">
        <v>1</v>
      </c>
      <c r="B47" s="685"/>
      <c r="C47" s="333"/>
      <c r="D47" s="334">
        <v>2</v>
      </c>
      <c r="E47" s="344">
        <v>3</v>
      </c>
      <c r="F47" s="334">
        <v>4</v>
      </c>
      <c r="G47" s="86" t="s">
        <v>73</v>
      </c>
      <c r="H47" s="7"/>
      <c r="I47" s="7"/>
      <c r="J47" s="7"/>
    </row>
    <row r="48" spans="1:12" ht="15.75" x14ac:dyDescent="0.25">
      <c r="A48" s="686" t="str">
        <f>'инновации+добровольчество'!A53</f>
        <v>Суточные</v>
      </c>
      <c r="B48" s="687"/>
      <c r="C48" s="336"/>
      <c r="D48" s="334" t="str">
        <f>'инновации+добровольчество'!D53</f>
        <v>сутки</v>
      </c>
      <c r="E48" s="344">
        <f>D44</f>
        <v>0.26300000000000001</v>
      </c>
      <c r="F48" s="344">
        <f>'инновации+добровольчество'!F53</f>
        <v>13500</v>
      </c>
      <c r="G48" s="86">
        <f>E48*F48</f>
        <v>3550.5</v>
      </c>
      <c r="H48" s="7"/>
      <c r="I48" s="7"/>
      <c r="J48" s="7"/>
    </row>
    <row r="49" spans="1:13" ht="15.75" x14ac:dyDescent="0.25">
      <c r="A49" s="686" t="str">
        <f>'инновации+добровольчество'!A54</f>
        <v>Проезд</v>
      </c>
      <c r="B49" s="687"/>
      <c r="C49" s="336"/>
      <c r="D49" s="334" t="str">
        <f>'инновации+добровольчество'!D54</f>
        <v xml:space="preserve">Ед. </v>
      </c>
      <c r="E49" s="344">
        <f>D44</f>
        <v>0.26300000000000001</v>
      </c>
      <c r="F49" s="344">
        <f>'инновации+добровольчество'!F54</f>
        <v>60000</v>
      </c>
      <c r="G49" s="86">
        <f t="shared" ref="G49:G51" si="1">E49*F49</f>
        <v>15780</v>
      </c>
      <c r="H49" s="7"/>
      <c r="I49" s="7"/>
      <c r="J49" s="7"/>
      <c r="M49" s="203"/>
    </row>
    <row r="50" spans="1:13" ht="15.75" x14ac:dyDescent="0.25">
      <c r="A50" s="686" t="str">
        <f>'инновации+добровольчество'!A55</f>
        <v>Проживание (гостиница)</v>
      </c>
      <c r="B50" s="687"/>
      <c r="C50" s="336"/>
      <c r="D50" s="334" t="str">
        <f>'инновации+добровольчество'!D55</f>
        <v>сутки</v>
      </c>
      <c r="E50" s="344">
        <f>D44</f>
        <v>0.26300000000000001</v>
      </c>
      <c r="F50" s="344">
        <f>'инновации+добровольчество'!F55</f>
        <v>7499.98</v>
      </c>
      <c r="G50" s="86">
        <f t="shared" si="1"/>
        <v>1972.4947399999999</v>
      </c>
      <c r="H50" s="7"/>
      <c r="I50" s="7"/>
      <c r="J50" s="7"/>
      <c r="M50" s="203"/>
    </row>
    <row r="51" spans="1:13" ht="15.75" x14ac:dyDescent="0.25">
      <c r="A51" s="335" t="str">
        <f>'инновации+добровольчество'!A56</f>
        <v>Проживание (квартирные)</v>
      </c>
      <c r="B51" s="336"/>
      <c r="C51" s="336"/>
      <c r="D51" s="334" t="str">
        <f>'инновации+добровольчество'!D56</f>
        <v>сутки</v>
      </c>
      <c r="E51" s="344">
        <f>D44</f>
        <v>0.26300000000000001</v>
      </c>
      <c r="F51" s="344">
        <f>'инновации+добровольчество'!F56</f>
        <v>3375</v>
      </c>
      <c r="G51" s="86">
        <f t="shared" si="1"/>
        <v>887.625</v>
      </c>
      <c r="H51" s="7"/>
      <c r="I51" s="7"/>
      <c r="J51" s="7"/>
      <c r="M51" s="203"/>
    </row>
    <row r="52" spans="1:13" ht="18.75" x14ac:dyDescent="0.25">
      <c r="A52" s="700" t="s">
        <v>62</v>
      </c>
      <c r="B52" s="701"/>
      <c r="C52" s="341"/>
      <c r="D52" s="81"/>
      <c r="E52" s="81"/>
      <c r="F52" s="81"/>
      <c r="G52" s="410">
        <f>SUM(G48:G51)</f>
        <v>22190.619739999998</v>
      </c>
      <c r="H52" s="7"/>
      <c r="I52" s="7"/>
      <c r="J52" s="7"/>
      <c r="M52" s="200"/>
    </row>
    <row r="53" spans="1:13" ht="15.75" x14ac:dyDescent="0.25">
      <c r="A53" s="699" t="s">
        <v>136</v>
      </c>
      <c r="B53" s="699"/>
      <c r="C53" s="699"/>
      <c r="D53" s="699"/>
      <c r="E53" s="699"/>
      <c r="F53" s="699"/>
      <c r="G53" s="179"/>
      <c r="H53" s="7"/>
      <c r="I53" s="7"/>
      <c r="J53" s="7"/>
    </row>
    <row r="54" spans="1:13" ht="15.75" x14ac:dyDescent="0.25">
      <c r="A54" s="7"/>
      <c r="B54" s="7"/>
      <c r="C54" s="7"/>
      <c r="D54" s="170"/>
      <c r="E54" s="7"/>
      <c r="F54" s="171">
        <v>1</v>
      </c>
      <c r="G54" s="179"/>
      <c r="H54" s="7"/>
      <c r="I54" s="7"/>
      <c r="J54" s="7"/>
    </row>
    <row r="55" spans="1:13" ht="15.75" x14ac:dyDescent="0.25">
      <c r="A55" s="683" t="s">
        <v>132</v>
      </c>
      <c r="B55" s="683"/>
      <c r="C55" s="334"/>
      <c r="D55" s="683" t="s">
        <v>11</v>
      </c>
      <c r="E55" s="696" t="s">
        <v>51</v>
      </c>
      <c r="F55" s="696" t="s">
        <v>15</v>
      </c>
      <c r="G55" s="737" t="s">
        <v>6</v>
      </c>
      <c r="H55" s="7"/>
      <c r="I55" s="7"/>
      <c r="J55" s="7"/>
    </row>
    <row r="56" spans="1:13" ht="13.9" customHeight="1" x14ac:dyDescent="0.25">
      <c r="A56" s="683"/>
      <c r="B56" s="683"/>
      <c r="C56" s="334"/>
      <c r="D56" s="683"/>
      <c r="E56" s="697"/>
      <c r="F56" s="697"/>
      <c r="G56" s="738"/>
      <c r="H56" s="7"/>
      <c r="I56" s="7"/>
      <c r="J56" s="7"/>
    </row>
    <row r="57" spans="1:13" ht="15.75" hidden="1" x14ac:dyDescent="0.25">
      <c r="A57" s="684">
        <v>1</v>
      </c>
      <c r="B57" s="685"/>
      <c r="C57" s="333"/>
      <c r="D57" s="334">
        <v>2</v>
      </c>
      <c r="E57" s="334">
        <v>3</v>
      </c>
      <c r="F57" s="334">
        <v>4</v>
      </c>
      <c r="G57" s="86" t="s">
        <v>73</v>
      </c>
      <c r="H57" s="7"/>
      <c r="I57" s="7"/>
      <c r="J57" s="7"/>
    </row>
    <row r="58" spans="1:13" ht="25.5" x14ac:dyDescent="0.25">
      <c r="A58" s="291" t="s">
        <v>258</v>
      </c>
      <c r="B58" s="399"/>
      <c r="C58" s="399"/>
      <c r="D58" s="400"/>
      <c r="E58" s="445"/>
      <c r="F58" s="451"/>
      <c r="G58" s="86"/>
      <c r="H58" s="7"/>
      <c r="I58" s="7"/>
      <c r="J58" s="7"/>
    </row>
    <row r="59" spans="1:13" ht="15.75" x14ac:dyDescent="0.25">
      <c r="A59" s="266" t="s">
        <v>259</v>
      </c>
      <c r="B59" s="399"/>
      <c r="C59" s="399"/>
      <c r="D59" s="400" t="s">
        <v>134</v>
      </c>
      <c r="E59" s="103">
        <v>3</v>
      </c>
      <c r="F59" s="106">
        <v>6000</v>
      </c>
      <c r="G59" s="86">
        <f>E59*F59</f>
        <v>18000</v>
      </c>
      <c r="H59" s="7"/>
      <c r="I59" s="7"/>
      <c r="J59" s="7"/>
    </row>
    <row r="60" spans="1:13" ht="15.75" x14ac:dyDescent="0.25">
      <c r="A60" s="382" t="s">
        <v>220</v>
      </c>
      <c r="B60" s="399"/>
      <c r="C60" s="399"/>
      <c r="D60" s="400" t="s">
        <v>135</v>
      </c>
      <c r="E60" s="103">
        <v>3</v>
      </c>
      <c r="F60" s="106">
        <v>2250</v>
      </c>
      <c r="G60" s="86">
        <f t="shared" ref="G60:G123" si="2">E60*F60</f>
        <v>6750</v>
      </c>
      <c r="H60" s="7"/>
      <c r="I60" s="7"/>
      <c r="J60" s="7"/>
    </row>
    <row r="61" spans="1:13" ht="15.75" x14ac:dyDescent="0.25">
      <c r="A61" s="266" t="s">
        <v>260</v>
      </c>
      <c r="B61" s="399"/>
      <c r="C61" s="399"/>
      <c r="D61" s="400" t="s">
        <v>135</v>
      </c>
      <c r="E61" s="103">
        <v>3</v>
      </c>
      <c r="F61" s="106">
        <v>1350</v>
      </c>
      <c r="G61" s="86">
        <f t="shared" si="2"/>
        <v>4050</v>
      </c>
      <c r="H61" s="7"/>
      <c r="I61" s="7"/>
      <c r="J61" s="7"/>
    </row>
    <row r="62" spans="1:13" ht="15.75" x14ac:dyDescent="0.25">
      <c r="A62" s="291" t="s">
        <v>261</v>
      </c>
      <c r="B62" s="399"/>
      <c r="C62" s="399"/>
      <c r="D62" s="400"/>
      <c r="E62" s="445"/>
      <c r="F62" s="451"/>
      <c r="G62" s="86"/>
      <c r="H62" s="7"/>
      <c r="I62" s="7"/>
      <c r="J62" s="7"/>
    </row>
    <row r="63" spans="1:13" ht="15.75" x14ac:dyDescent="0.25">
      <c r="A63" s="266" t="s">
        <v>259</v>
      </c>
      <c r="B63" s="399"/>
      <c r="C63" s="399"/>
      <c r="D63" s="400" t="s">
        <v>134</v>
      </c>
      <c r="E63" s="103">
        <v>2</v>
      </c>
      <c r="F63" s="106">
        <v>6000</v>
      </c>
      <c r="G63" s="86">
        <f t="shared" si="2"/>
        <v>12000</v>
      </c>
      <c r="H63" s="7"/>
      <c r="I63" s="7"/>
      <c r="J63" s="7"/>
    </row>
    <row r="64" spans="1:13" ht="15.75" x14ac:dyDescent="0.25">
      <c r="A64" s="382" t="s">
        <v>220</v>
      </c>
      <c r="B64" s="399"/>
      <c r="C64" s="399"/>
      <c r="D64" s="400" t="s">
        <v>135</v>
      </c>
      <c r="E64" s="103">
        <v>0</v>
      </c>
      <c r="F64" s="106">
        <v>2250</v>
      </c>
      <c r="G64" s="86">
        <f t="shared" si="2"/>
        <v>0</v>
      </c>
      <c r="H64" s="7"/>
      <c r="I64" s="7"/>
      <c r="J64" s="7"/>
    </row>
    <row r="65" spans="1:10" ht="15.75" x14ac:dyDescent="0.25">
      <c r="A65" s="266" t="s">
        <v>262</v>
      </c>
      <c r="B65" s="399"/>
      <c r="C65" s="399"/>
      <c r="D65" s="400" t="s">
        <v>135</v>
      </c>
      <c r="E65" s="103">
        <v>3</v>
      </c>
      <c r="F65" s="106">
        <v>1350</v>
      </c>
      <c r="G65" s="86">
        <f t="shared" si="2"/>
        <v>4050</v>
      </c>
      <c r="H65" s="7"/>
      <c r="I65" s="7"/>
      <c r="J65" s="7"/>
    </row>
    <row r="66" spans="1:10" ht="15.75" x14ac:dyDescent="0.25">
      <c r="A66" s="291" t="s">
        <v>263</v>
      </c>
      <c r="B66" s="399"/>
      <c r="C66" s="399"/>
      <c r="D66" s="400"/>
      <c r="E66" s="445"/>
      <c r="F66" s="451"/>
      <c r="G66" s="86"/>
      <c r="H66" s="7"/>
      <c r="I66" s="7"/>
      <c r="J66" s="7"/>
    </row>
    <row r="67" spans="1:10" ht="15.75" x14ac:dyDescent="0.25">
      <c r="A67" s="266" t="s">
        <v>259</v>
      </c>
      <c r="B67" s="399"/>
      <c r="C67" s="399"/>
      <c r="D67" s="400" t="s">
        <v>134</v>
      </c>
      <c r="E67" s="103">
        <v>3</v>
      </c>
      <c r="F67" s="106">
        <v>15000</v>
      </c>
      <c r="G67" s="86">
        <f t="shared" si="2"/>
        <v>45000</v>
      </c>
      <c r="H67" s="7"/>
      <c r="I67" s="7"/>
      <c r="J67" s="7"/>
    </row>
    <row r="68" spans="1:10" ht="15.75" x14ac:dyDescent="0.25">
      <c r="A68" s="382" t="s">
        <v>264</v>
      </c>
      <c r="B68" s="399"/>
      <c r="C68" s="399"/>
      <c r="D68" s="400" t="s">
        <v>135</v>
      </c>
      <c r="E68" s="103">
        <v>0</v>
      </c>
      <c r="F68" s="106">
        <v>4500</v>
      </c>
      <c r="G68" s="86">
        <f t="shared" si="2"/>
        <v>0</v>
      </c>
      <c r="H68" s="7"/>
      <c r="I68" s="7"/>
      <c r="J68" s="7"/>
    </row>
    <row r="69" spans="1:10" ht="15.75" x14ac:dyDescent="0.25">
      <c r="A69" s="266" t="s">
        <v>260</v>
      </c>
      <c r="B69" s="399"/>
      <c r="C69" s="399"/>
      <c r="D69" s="400" t="s">
        <v>135</v>
      </c>
      <c r="E69" s="103">
        <v>3</v>
      </c>
      <c r="F69" s="106">
        <v>3150</v>
      </c>
      <c r="G69" s="86">
        <f t="shared" si="2"/>
        <v>9450</v>
      </c>
      <c r="H69" s="7"/>
      <c r="I69" s="7"/>
      <c r="J69" s="7"/>
    </row>
    <row r="70" spans="1:10" ht="15.75" x14ac:dyDescent="0.25">
      <c r="A70" s="98" t="s">
        <v>265</v>
      </c>
      <c r="B70" s="399"/>
      <c r="C70" s="399"/>
      <c r="D70" s="400" t="s">
        <v>91</v>
      </c>
      <c r="E70" s="272">
        <v>4</v>
      </c>
      <c r="F70" s="106">
        <v>3326</v>
      </c>
      <c r="G70" s="86">
        <f t="shared" si="2"/>
        <v>13304</v>
      </c>
      <c r="H70" s="7"/>
      <c r="I70" s="7"/>
      <c r="J70" s="7"/>
    </row>
    <row r="71" spans="1:10" ht="25.5" x14ac:dyDescent="0.25">
      <c r="A71" s="291" t="s">
        <v>266</v>
      </c>
      <c r="B71" s="399"/>
      <c r="C71" s="399"/>
      <c r="D71" s="400"/>
      <c r="E71" s="446"/>
      <c r="F71" s="451"/>
      <c r="G71" s="86"/>
      <c r="H71" s="7"/>
      <c r="I71" s="7"/>
      <c r="J71" s="7"/>
    </row>
    <row r="72" spans="1:10" ht="15.75" x14ac:dyDescent="0.25">
      <c r="A72" s="266" t="s">
        <v>259</v>
      </c>
      <c r="B72" s="399"/>
      <c r="C72" s="399"/>
      <c r="D72" s="400" t="s">
        <v>134</v>
      </c>
      <c r="E72" s="103">
        <v>3</v>
      </c>
      <c r="F72" s="106">
        <v>6000</v>
      </c>
      <c r="G72" s="86">
        <f t="shared" si="2"/>
        <v>18000</v>
      </c>
      <c r="H72" s="7"/>
      <c r="I72" s="7"/>
      <c r="J72" s="7"/>
    </row>
    <row r="73" spans="1:10" ht="15.75" x14ac:dyDescent="0.25">
      <c r="A73" s="382" t="s">
        <v>220</v>
      </c>
      <c r="B73" s="399"/>
      <c r="C73" s="399"/>
      <c r="D73" s="400" t="s">
        <v>135</v>
      </c>
      <c r="E73" s="103">
        <v>3</v>
      </c>
      <c r="F73" s="106">
        <v>2250</v>
      </c>
      <c r="G73" s="86">
        <f t="shared" si="2"/>
        <v>6750</v>
      </c>
      <c r="H73" s="7"/>
      <c r="I73" s="7"/>
      <c r="J73" s="7"/>
    </row>
    <row r="74" spans="1:10" ht="15.75" x14ac:dyDescent="0.25">
      <c r="A74" s="266" t="s">
        <v>260</v>
      </c>
      <c r="B74" s="399"/>
      <c r="C74" s="399"/>
      <c r="D74" s="400" t="s">
        <v>135</v>
      </c>
      <c r="E74" s="103">
        <v>3</v>
      </c>
      <c r="F74" s="106">
        <v>1350</v>
      </c>
      <c r="G74" s="86">
        <f t="shared" si="2"/>
        <v>4050</v>
      </c>
      <c r="H74" s="7"/>
      <c r="I74" s="7"/>
      <c r="J74" s="7"/>
    </row>
    <row r="75" spans="1:10" ht="15.75" x14ac:dyDescent="0.25">
      <c r="A75" s="291" t="s">
        <v>267</v>
      </c>
      <c r="B75" s="399"/>
      <c r="C75" s="399"/>
      <c r="D75" s="400"/>
      <c r="E75" s="272"/>
      <c r="F75" s="106"/>
      <c r="G75" s="86"/>
      <c r="H75" s="7"/>
      <c r="I75" s="7"/>
      <c r="J75" s="7"/>
    </row>
    <row r="76" spans="1:10" ht="15.75" x14ac:dyDescent="0.25">
      <c r="A76" s="266" t="s">
        <v>259</v>
      </c>
      <c r="B76" s="399"/>
      <c r="C76" s="399"/>
      <c r="D76" s="400" t="s">
        <v>134</v>
      </c>
      <c r="E76" s="272">
        <v>10</v>
      </c>
      <c r="F76" s="106">
        <v>6000</v>
      </c>
      <c r="G76" s="86">
        <f t="shared" si="2"/>
        <v>60000</v>
      </c>
      <c r="H76" s="7"/>
      <c r="I76" s="7"/>
      <c r="J76" s="7"/>
    </row>
    <row r="77" spans="1:10" ht="15.75" x14ac:dyDescent="0.25">
      <c r="A77" s="382" t="s">
        <v>268</v>
      </c>
      <c r="B77" s="399"/>
      <c r="C77" s="399"/>
      <c r="D77" s="400" t="s">
        <v>135</v>
      </c>
      <c r="E77" s="272">
        <v>10</v>
      </c>
      <c r="F77" s="106">
        <v>3000</v>
      </c>
      <c r="G77" s="86">
        <f t="shared" si="2"/>
        <v>30000</v>
      </c>
      <c r="H77" s="7"/>
      <c r="I77" s="7"/>
      <c r="J77" s="7"/>
    </row>
    <row r="78" spans="1:10" ht="15.75" x14ac:dyDescent="0.25">
      <c r="A78" s="266" t="s">
        <v>269</v>
      </c>
      <c r="B78" s="399"/>
      <c r="C78" s="399"/>
      <c r="D78" s="400" t="s">
        <v>135</v>
      </c>
      <c r="E78" s="272">
        <v>10</v>
      </c>
      <c r="F78" s="106">
        <v>1000</v>
      </c>
      <c r="G78" s="86">
        <f t="shared" si="2"/>
        <v>10000</v>
      </c>
      <c r="H78" s="7"/>
      <c r="I78" s="7"/>
      <c r="J78" s="7"/>
    </row>
    <row r="79" spans="1:10" ht="15.75" x14ac:dyDescent="0.25">
      <c r="A79" s="291" t="s">
        <v>270</v>
      </c>
      <c r="B79" s="399"/>
      <c r="C79" s="399"/>
      <c r="D79" s="400"/>
      <c r="E79" s="446"/>
      <c r="F79" s="451"/>
      <c r="G79" s="86">
        <f t="shared" si="2"/>
        <v>0</v>
      </c>
      <c r="H79" s="7"/>
      <c r="I79" s="7"/>
      <c r="J79" s="7"/>
    </row>
    <row r="80" spans="1:10" ht="15.75" x14ac:dyDescent="0.25">
      <c r="A80" s="266" t="s">
        <v>259</v>
      </c>
      <c r="B80" s="399"/>
      <c r="C80" s="399"/>
      <c r="D80" s="400" t="s">
        <v>134</v>
      </c>
      <c r="E80" s="272">
        <v>3</v>
      </c>
      <c r="F80" s="106">
        <v>6000</v>
      </c>
      <c r="G80" s="86">
        <f t="shared" si="2"/>
        <v>18000</v>
      </c>
      <c r="H80" s="7"/>
      <c r="I80" s="7"/>
      <c r="J80" s="7"/>
    </row>
    <row r="81" spans="1:10" ht="15.75" x14ac:dyDescent="0.25">
      <c r="A81" s="382" t="s">
        <v>268</v>
      </c>
      <c r="B81" s="399"/>
      <c r="C81" s="399"/>
      <c r="D81" s="400" t="s">
        <v>135</v>
      </c>
      <c r="E81" s="272">
        <v>3</v>
      </c>
      <c r="F81" s="106">
        <v>3000</v>
      </c>
      <c r="G81" s="86">
        <f t="shared" si="2"/>
        <v>9000</v>
      </c>
      <c r="H81" s="7"/>
      <c r="I81" s="7"/>
      <c r="J81" s="7"/>
    </row>
    <row r="82" spans="1:10" ht="15.75" x14ac:dyDescent="0.25">
      <c r="A82" s="266" t="s">
        <v>269</v>
      </c>
      <c r="B82" s="399"/>
      <c r="C82" s="399"/>
      <c r="D82" s="400" t="s">
        <v>135</v>
      </c>
      <c r="E82" s="104">
        <v>3</v>
      </c>
      <c r="F82" s="107">
        <v>1000</v>
      </c>
      <c r="G82" s="86">
        <f t="shared" si="2"/>
        <v>3000</v>
      </c>
      <c r="H82" s="7"/>
      <c r="I82" s="7"/>
      <c r="J82" s="7"/>
    </row>
    <row r="83" spans="1:10" ht="25.5" x14ac:dyDescent="0.25">
      <c r="A83" s="291" t="s">
        <v>271</v>
      </c>
      <c r="B83" s="399"/>
      <c r="C83" s="399"/>
      <c r="D83" s="400"/>
      <c r="E83" s="447"/>
      <c r="F83" s="452"/>
      <c r="G83" s="86">
        <f t="shared" si="2"/>
        <v>0</v>
      </c>
      <c r="H83" s="7"/>
      <c r="I83" s="7"/>
      <c r="J83" s="7"/>
    </row>
    <row r="84" spans="1:10" ht="15.75" x14ac:dyDescent="0.25">
      <c r="A84" s="98" t="s">
        <v>554</v>
      </c>
      <c r="B84" s="399"/>
      <c r="C84" s="399"/>
      <c r="D84" s="400" t="s">
        <v>135</v>
      </c>
      <c r="E84" s="104">
        <v>4</v>
      </c>
      <c r="F84" s="107">
        <v>450</v>
      </c>
      <c r="G84" s="86">
        <f t="shared" si="2"/>
        <v>1800</v>
      </c>
      <c r="H84" s="7"/>
      <c r="I84" s="7"/>
      <c r="J84" s="7"/>
    </row>
    <row r="85" spans="1:10" ht="15.75" x14ac:dyDescent="0.25">
      <c r="A85" s="98" t="s">
        <v>555</v>
      </c>
      <c r="B85" s="399"/>
      <c r="C85" s="399"/>
      <c r="D85" s="400" t="s">
        <v>134</v>
      </c>
      <c r="E85" s="104">
        <v>2</v>
      </c>
      <c r="F85" s="107">
        <v>2500</v>
      </c>
      <c r="G85" s="86">
        <f t="shared" si="2"/>
        <v>5000</v>
      </c>
      <c r="H85" s="7"/>
      <c r="I85" s="7"/>
      <c r="J85" s="7"/>
    </row>
    <row r="86" spans="1:10" ht="15.75" x14ac:dyDescent="0.25">
      <c r="A86" s="98" t="s">
        <v>556</v>
      </c>
      <c r="B86" s="399"/>
      <c r="C86" s="399"/>
      <c r="D86" s="400" t="s">
        <v>134</v>
      </c>
      <c r="E86" s="104">
        <v>3</v>
      </c>
      <c r="F86" s="107">
        <v>135</v>
      </c>
      <c r="G86" s="86">
        <f t="shared" si="2"/>
        <v>405</v>
      </c>
      <c r="H86" s="7"/>
      <c r="I86" s="7"/>
      <c r="J86" s="7"/>
    </row>
    <row r="87" spans="1:10" ht="15.75" x14ac:dyDescent="0.25">
      <c r="A87" s="266" t="s">
        <v>272</v>
      </c>
      <c r="B87" s="399"/>
      <c r="C87" s="399"/>
      <c r="D87" s="400" t="s">
        <v>134</v>
      </c>
      <c r="E87" s="104">
        <v>9</v>
      </c>
      <c r="F87" s="107">
        <v>5000</v>
      </c>
      <c r="G87" s="86">
        <f t="shared" si="2"/>
        <v>45000</v>
      </c>
      <c r="H87" s="7"/>
      <c r="I87" s="7"/>
      <c r="J87" s="7"/>
    </row>
    <row r="88" spans="1:10" ht="15.75" x14ac:dyDescent="0.25">
      <c r="A88" s="382" t="s">
        <v>268</v>
      </c>
      <c r="B88" s="399"/>
      <c r="C88" s="399"/>
      <c r="D88" s="400" t="s">
        <v>134</v>
      </c>
      <c r="E88" s="104">
        <v>10</v>
      </c>
      <c r="F88" s="107">
        <v>3559.5</v>
      </c>
      <c r="G88" s="86">
        <f t="shared" si="2"/>
        <v>35595</v>
      </c>
      <c r="H88" s="7"/>
      <c r="I88" s="7"/>
      <c r="J88" s="7"/>
    </row>
    <row r="89" spans="1:10" ht="15.75" x14ac:dyDescent="0.25">
      <c r="A89" s="266" t="s">
        <v>269</v>
      </c>
      <c r="B89" s="399"/>
      <c r="C89" s="399"/>
      <c r="D89" s="400" t="s">
        <v>135</v>
      </c>
      <c r="E89" s="104">
        <v>9</v>
      </c>
      <c r="F89" s="107">
        <v>600</v>
      </c>
      <c r="G89" s="86">
        <f t="shared" si="2"/>
        <v>5400</v>
      </c>
      <c r="H89" s="7"/>
      <c r="I89" s="7"/>
      <c r="J89" s="7"/>
    </row>
    <row r="90" spans="1:10" ht="25.5" x14ac:dyDescent="0.25">
      <c r="A90" s="291" t="s">
        <v>273</v>
      </c>
      <c r="B90" s="399"/>
      <c r="C90" s="399"/>
      <c r="D90" s="400"/>
      <c r="E90" s="446"/>
      <c r="F90" s="453"/>
      <c r="G90" s="86"/>
      <c r="H90" s="7"/>
      <c r="I90" s="7"/>
      <c r="J90" s="7"/>
    </row>
    <row r="91" spans="1:10" ht="15.75" x14ac:dyDescent="0.25">
      <c r="A91" s="266" t="s">
        <v>557</v>
      </c>
      <c r="B91" s="399"/>
      <c r="C91" s="399"/>
      <c r="D91" s="400" t="s">
        <v>134</v>
      </c>
      <c r="E91" s="272">
        <v>2</v>
      </c>
      <c r="F91" s="105">
        <v>2500</v>
      </c>
      <c r="G91" s="86">
        <f t="shared" si="2"/>
        <v>5000</v>
      </c>
      <c r="H91" s="7"/>
      <c r="I91" s="7"/>
      <c r="J91" s="7"/>
    </row>
    <row r="92" spans="1:10" ht="15.75" x14ac:dyDescent="0.25">
      <c r="A92" s="382" t="s">
        <v>558</v>
      </c>
      <c r="B92" s="399"/>
      <c r="C92" s="399"/>
      <c r="D92" s="400" t="s">
        <v>135</v>
      </c>
      <c r="E92" s="272">
        <v>3</v>
      </c>
      <c r="F92" s="105">
        <v>750</v>
      </c>
      <c r="G92" s="86">
        <f t="shared" si="2"/>
        <v>2250</v>
      </c>
      <c r="H92" s="7"/>
      <c r="I92" s="7"/>
      <c r="J92" s="7"/>
    </row>
    <row r="93" spans="1:10" ht="15.75" x14ac:dyDescent="0.25">
      <c r="A93" s="266" t="s">
        <v>559</v>
      </c>
      <c r="B93" s="399"/>
      <c r="C93" s="399"/>
      <c r="D93" s="400" t="s">
        <v>135</v>
      </c>
      <c r="E93" s="272">
        <v>4</v>
      </c>
      <c r="F93" s="105">
        <v>450</v>
      </c>
      <c r="G93" s="86">
        <f t="shared" si="2"/>
        <v>1800</v>
      </c>
      <c r="H93" s="7"/>
      <c r="I93" s="7"/>
      <c r="J93" s="7"/>
    </row>
    <row r="94" spans="1:10" ht="15.75" x14ac:dyDescent="0.25">
      <c r="A94" s="266" t="s">
        <v>272</v>
      </c>
      <c r="B94" s="399"/>
      <c r="C94" s="399"/>
      <c r="D94" s="400" t="s">
        <v>134</v>
      </c>
      <c r="E94" s="272">
        <v>2</v>
      </c>
      <c r="F94" s="105">
        <v>5000</v>
      </c>
      <c r="G94" s="86">
        <f t="shared" si="2"/>
        <v>10000</v>
      </c>
      <c r="H94" s="7"/>
      <c r="I94" s="7"/>
      <c r="J94" s="7"/>
    </row>
    <row r="95" spans="1:10" ht="15.75" x14ac:dyDescent="0.25">
      <c r="A95" s="382" t="s">
        <v>220</v>
      </c>
      <c r="B95" s="399"/>
      <c r="C95" s="399"/>
      <c r="D95" s="400" t="s">
        <v>135</v>
      </c>
      <c r="E95" s="272">
        <v>6</v>
      </c>
      <c r="F95" s="105">
        <v>750</v>
      </c>
      <c r="G95" s="86">
        <f t="shared" si="2"/>
        <v>4500</v>
      </c>
      <c r="H95" s="7"/>
      <c r="I95" s="7"/>
      <c r="J95" s="7"/>
    </row>
    <row r="96" spans="1:10" ht="15.75" x14ac:dyDescent="0.25">
      <c r="A96" s="266" t="s">
        <v>560</v>
      </c>
      <c r="B96" s="399"/>
      <c r="C96" s="399"/>
      <c r="D96" s="400" t="s">
        <v>135</v>
      </c>
      <c r="E96" s="104">
        <v>8</v>
      </c>
      <c r="F96" s="107">
        <v>300</v>
      </c>
      <c r="G96" s="86">
        <f t="shared" si="2"/>
        <v>2400</v>
      </c>
      <c r="H96" s="7"/>
      <c r="I96" s="7"/>
      <c r="J96" s="7"/>
    </row>
    <row r="97" spans="1:10" ht="15.75" x14ac:dyDescent="0.25">
      <c r="A97" s="291" t="s">
        <v>274</v>
      </c>
      <c r="B97" s="399"/>
      <c r="C97" s="399"/>
      <c r="D97" s="400"/>
      <c r="E97" s="448"/>
      <c r="F97" s="448"/>
      <c r="G97" s="86"/>
      <c r="H97" s="7"/>
      <c r="I97" s="7"/>
      <c r="J97" s="7"/>
    </row>
    <row r="98" spans="1:10" ht="15.75" x14ac:dyDescent="0.25">
      <c r="A98" s="266" t="s">
        <v>259</v>
      </c>
      <c r="B98" s="399"/>
      <c r="C98" s="399"/>
      <c r="D98" s="400" t="s">
        <v>134</v>
      </c>
      <c r="E98" s="103">
        <v>4</v>
      </c>
      <c r="F98" s="106">
        <v>5000</v>
      </c>
      <c r="G98" s="86">
        <f t="shared" si="2"/>
        <v>20000</v>
      </c>
      <c r="H98" s="7"/>
      <c r="I98" s="7"/>
      <c r="J98" s="7"/>
    </row>
    <row r="99" spans="1:10" ht="15.75" x14ac:dyDescent="0.25">
      <c r="A99" s="382" t="s">
        <v>264</v>
      </c>
      <c r="B99" s="399"/>
      <c r="C99" s="399"/>
      <c r="D99" s="400" t="s">
        <v>135</v>
      </c>
      <c r="E99" s="103">
        <v>0</v>
      </c>
      <c r="F99" s="106">
        <v>0</v>
      </c>
      <c r="G99" s="86">
        <f t="shared" si="2"/>
        <v>0</v>
      </c>
      <c r="H99" s="7"/>
      <c r="I99" s="7"/>
      <c r="J99" s="7"/>
    </row>
    <row r="100" spans="1:10" ht="15.75" x14ac:dyDescent="0.25">
      <c r="A100" s="266" t="s">
        <v>260</v>
      </c>
      <c r="B100" s="399"/>
      <c r="C100" s="399"/>
      <c r="D100" s="400" t="s">
        <v>135</v>
      </c>
      <c r="E100" s="103">
        <v>8</v>
      </c>
      <c r="F100" s="106">
        <v>300</v>
      </c>
      <c r="G100" s="86">
        <f t="shared" si="2"/>
        <v>2400</v>
      </c>
      <c r="H100" s="7"/>
      <c r="I100" s="7"/>
      <c r="J100" s="7"/>
    </row>
    <row r="101" spans="1:10" ht="15.75" x14ac:dyDescent="0.25">
      <c r="A101" s="291" t="s">
        <v>265</v>
      </c>
      <c r="B101" s="399"/>
      <c r="C101" s="399"/>
      <c r="D101" s="400"/>
      <c r="E101" s="446"/>
      <c r="F101" s="451"/>
      <c r="G101" s="86"/>
      <c r="H101" s="7"/>
      <c r="I101" s="7"/>
      <c r="J101" s="7"/>
    </row>
    <row r="102" spans="1:10" ht="15.75" x14ac:dyDescent="0.25">
      <c r="A102" s="98" t="s">
        <v>561</v>
      </c>
      <c r="B102" s="399"/>
      <c r="C102" s="399"/>
      <c r="D102" s="400" t="s">
        <v>91</v>
      </c>
      <c r="E102" s="449">
        <v>3</v>
      </c>
      <c r="F102" s="106">
        <v>3501</v>
      </c>
      <c r="G102" s="86">
        <f t="shared" si="2"/>
        <v>10503</v>
      </c>
      <c r="H102" s="7"/>
      <c r="I102" s="7"/>
      <c r="J102" s="7"/>
    </row>
    <row r="103" spans="1:10" ht="15.75" x14ac:dyDescent="0.25">
      <c r="A103" s="98" t="s">
        <v>562</v>
      </c>
      <c r="B103" s="399"/>
      <c r="C103" s="399"/>
      <c r="D103" s="400" t="s">
        <v>91</v>
      </c>
      <c r="E103" s="449">
        <v>2</v>
      </c>
      <c r="F103" s="106">
        <v>2331</v>
      </c>
      <c r="G103" s="86">
        <f t="shared" si="2"/>
        <v>4662</v>
      </c>
      <c r="H103" s="7"/>
      <c r="I103" s="7"/>
      <c r="J103" s="7"/>
    </row>
    <row r="104" spans="1:10" ht="15.75" x14ac:dyDescent="0.25">
      <c r="A104" s="444" t="s">
        <v>563</v>
      </c>
      <c r="B104" s="399"/>
      <c r="C104" s="399"/>
      <c r="D104" s="400" t="s">
        <v>91</v>
      </c>
      <c r="E104" s="449">
        <v>5</v>
      </c>
      <c r="F104" s="106">
        <v>531</v>
      </c>
      <c r="G104" s="86">
        <f t="shared" si="2"/>
        <v>2655</v>
      </c>
      <c r="H104" s="7"/>
      <c r="I104" s="7"/>
      <c r="J104" s="7"/>
    </row>
    <row r="105" spans="1:10" ht="15.75" x14ac:dyDescent="0.25">
      <c r="A105" s="444" t="s">
        <v>564</v>
      </c>
      <c r="B105" s="399"/>
      <c r="C105" s="399"/>
      <c r="D105" s="400" t="s">
        <v>91</v>
      </c>
      <c r="E105" s="449">
        <v>5</v>
      </c>
      <c r="F105" s="106">
        <v>3141</v>
      </c>
      <c r="G105" s="86">
        <f t="shared" si="2"/>
        <v>15705</v>
      </c>
      <c r="H105" s="7"/>
      <c r="I105" s="7"/>
      <c r="J105" s="7"/>
    </row>
    <row r="106" spans="1:10" ht="15.75" x14ac:dyDescent="0.25">
      <c r="A106" s="444" t="s">
        <v>565</v>
      </c>
      <c r="B106" s="399"/>
      <c r="C106" s="399"/>
      <c r="D106" s="400" t="s">
        <v>91</v>
      </c>
      <c r="E106" s="449">
        <v>1</v>
      </c>
      <c r="F106" s="106">
        <v>12501</v>
      </c>
      <c r="G106" s="86">
        <f t="shared" si="2"/>
        <v>12501</v>
      </c>
      <c r="H106" s="7"/>
      <c r="I106" s="7"/>
      <c r="J106" s="7"/>
    </row>
    <row r="107" spans="1:10" ht="15.75" x14ac:dyDescent="0.25">
      <c r="A107" s="98" t="s">
        <v>566</v>
      </c>
      <c r="B107" s="399"/>
      <c r="C107" s="399"/>
      <c r="D107" s="400" t="s">
        <v>91</v>
      </c>
      <c r="E107" s="449">
        <v>5</v>
      </c>
      <c r="F107" s="106">
        <v>891</v>
      </c>
      <c r="G107" s="86">
        <f t="shared" si="2"/>
        <v>4455</v>
      </c>
      <c r="H107" s="7"/>
      <c r="I107" s="7"/>
      <c r="J107" s="7"/>
    </row>
    <row r="108" spans="1:10" ht="15.75" x14ac:dyDescent="0.25">
      <c r="A108" s="444" t="s">
        <v>567</v>
      </c>
      <c r="B108" s="399"/>
      <c r="C108" s="399"/>
      <c r="D108" s="400" t="s">
        <v>91</v>
      </c>
      <c r="E108" s="449">
        <v>5</v>
      </c>
      <c r="F108" s="106">
        <v>2691</v>
      </c>
      <c r="G108" s="86">
        <f t="shared" si="2"/>
        <v>13455</v>
      </c>
      <c r="H108" s="7"/>
      <c r="I108" s="7"/>
      <c r="J108" s="7"/>
    </row>
    <row r="109" spans="1:10" ht="15.75" x14ac:dyDescent="0.25">
      <c r="A109" s="444" t="s">
        <v>568</v>
      </c>
      <c r="B109" s="399"/>
      <c r="C109" s="399"/>
      <c r="D109" s="400" t="s">
        <v>91</v>
      </c>
      <c r="E109" s="449">
        <v>3</v>
      </c>
      <c r="F109" s="106">
        <v>801</v>
      </c>
      <c r="G109" s="86">
        <f t="shared" si="2"/>
        <v>2403</v>
      </c>
      <c r="H109" s="7"/>
      <c r="I109" s="7"/>
      <c r="J109" s="7"/>
    </row>
    <row r="110" spans="1:10" ht="15.75" x14ac:dyDescent="0.25">
      <c r="A110" s="444" t="s">
        <v>569</v>
      </c>
      <c r="B110" s="399"/>
      <c r="C110" s="399"/>
      <c r="D110" s="400" t="s">
        <v>91</v>
      </c>
      <c r="E110" s="449">
        <v>2</v>
      </c>
      <c r="F110" s="106">
        <v>531</v>
      </c>
      <c r="G110" s="86">
        <f t="shared" si="2"/>
        <v>1062</v>
      </c>
      <c r="H110" s="7"/>
      <c r="I110" s="7"/>
      <c r="J110" s="7"/>
    </row>
    <row r="111" spans="1:10" ht="15.75" x14ac:dyDescent="0.25">
      <c r="A111" s="444" t="s">
        <v>570</v>
      </c>
      <c r="B111" s="399"/>
      <c r="C111" s="399"/>
      <c r="D111" s="400" t="s">
        <v>91</v>
      </c>
      <c r="E111" s="449">
        <v>5</v>
      </c>
      <c r="F111" s="106">
        <v>108</v>
      </c>
      <c r="G111" s="86">
        <f t="shared" si="2"/>
        <v>540</v>
      </c>
      <c r="H111" s="7"/>
      <c r="I111" s="7"/>
      <c r="J111" s="7"/>
    </row>
    <row r="112" spans="1:10" ht="15.75" x14ac:dyDescent="0.25">
      <c r="A112" s="444" t="s">
        <v>571</v>
      </c>
      <c r="B112" s="399"/>
      <c r="C112" s="399"/>
      <c r="D112" s="400" t="s">
        <v>91</v>
      </c>
      <c r="E112" s="449">
        <v>5</v>
      </c>
      <c r="F112" s="106">
        <v>6111</v>
      </c>
      <c r="G112" s="86">
        <f t="shared" si="2"/>
        <v>30555</v>
      </c>
      <c r="H112" s="7"/>
      <c r="I112" s="7"/>
      <c r="J112" s="7"/>
    </row>
    <row r="113" spans="1:10" ht="15.75" x14ac:dyDescent="0.25">
      <c r="A113" s="291" t="s">
        <v>275</v>
      </c>
      <c r="B113" s="399"/>
      <c r="C113" s="399"/>
      <c r="D113" s="400"/>
      <c r="E113" s="450"/>
      <c r="F113" s="453"/>
      <c r="G113" s="86"/>
      <c r="H113" s="7"/>
      <c r="I113" s="7"/>
      <c r="J113" s="7"/>
    </row>
    <row r="114" spans="1:10" ht="15.75" x14ac:dyDescent="0.25">
      <c r="A114" s="266" t="s">
        <v>259</v>
      </c>
      <c r="B114" s="399"/>
      <c r="C114" s="399"/>
      <c r="D114" s="400" t="s">
        <v>134</v>
      </c>
      <c r="E114" s="103">
        <v>3</v>
      </c>
      <c r="F114" s="106">
        <v>6000</v>
      </c>
      <c r="G114" s="86">
        <f t="shared" si="2"/>
        <v>18000</v>
      </c>
      <c r="H114" s="7"/>
      <c r="I114" s="7"/>
      <c r="J114" s="7"/>
    </row>
    <row r="115" spans="1:10" ht="15.75" x14ac:dyDescent="0.25">
      <c r="A115" s="382" t="s">
        <v>220</v>
      </c>
      <c r="B115" s="399"/>
      <c r="C115" s="399"/>
      <c r="D115" s="400" t="s">
        <v>135</v>
      </c>
      <c r="E115" s="103">
        <v>6</v>
      </c>
      <c r="F115" s="106">
        <v>2250</v>
      </c>
      <c r="G115" s="86">
        <f t="shared" si="2"/>
        <v>13500</v>
      </c>
      <c r="H115" s="7"/>
      <c r="I115" s="7"/>
      <c r="J115" s="7"/>
    </row>
    <row r="116" spans="1:10" ht="15.75" x14ac:dyDescent="0.25">
      <c r="A116" s="266" t="s">
        <v>260</v>
      </c>
      <c r="B116" s="399"/>
      <c r="C116" s="399"/>
      <c r="D116" s="400" t="s">
        <v>135</v>
      </c>
      <c r="E116" s="103">
        <v>6</v>
      </c>
      <c r="F116" s="106">
        <v>1350</v>
      </c>
      <c r="G116" s="86">
        <f t="shared" si="2"/>
        <v>8100</v>
      </c>
      <c r="H116" s="7"/>
      <c r="I116" s="7"/>
      <c r="J116" s="7"/>
    </row>
    <row r="117" spans="1:10" ht="15.75" x14ac:dyDescent="0.25">
      <c r="A117" s="289" t="s">
        <v>276</v>
      </c>
      <c r="B117" s="399"/>
      <c r="C117" s="399"/>
      <c r="D117" s="400"/>
      <c r="E117" s="445"/>
      <c r="F117" s="451"/>
      <c r="G117" s="86">
        <f t="shared" si="2"/>
        <v>0</v>
      </c>
      <c r="H117" s="7"/>
      <c r="I117" s="7"/>
      <c r="J117" s="7"/>
    </row>
    <row r="118" spans="1:10" ht="15.75" x14ac:dyDescent="0.25">
      <c r="A118" s="264" t="s">
        <v>277</v>
      </c>
      <c r="B118" s="399"/>
      <c r="C118" s="399"/>
      <c r="D118" s="400" t="s">
        <v>91</v>
      </c>
      <c r="E118" s="103">
        <v>90</v>
      </c>
      <c r="F118" s="106">
        <v>10</v>
      </c>
      <c r="G118" s="86">
        <f t="shared" si="2"/>
        <v>900</v>
      </c>
      <c r="H118" s="7"/>
      <c r="I118" s="7"/>
      <c r="J118" s="7"/>
    </row>
    <row r="119" spans="1:10" ht="15.75" x14ac:dyDescent="0.25">
      <c r="A119" s="264" t="s">
        <v>278</v>
      </c>
      <c r="B119" s="399"/>
      <c r="C119" s="399"/>
      <c r="D119" s="400" t="s">
        <v>91</v>
      </c>
      <c r="E119" s="103">
        <v>39</v>
      </c>
      <c r="F119" s="106">
        <v>400</v>
      </c>
      <c r="G119" s="86">
        <f t="shared" si="2"/>
        <v>15600</v>
      </c>
      <c r="H119" s="7"/>
      <c r="I119" s="7"/>
      <c r="J119" s="7"/>
    </row>
    <row r="120" spans="1:10" ht="15.75" x14ac:dyDescent="0.25">
      <c r="A120" s="266" t="s">
        <v>226</v>
      </c>
      <c r="B120" s="399"/>
      <c r="C120" s="399"/>
      <c r="D120" s="400" t="s">
        <v>91</v>
      </c>
      <c r="E120" s="103">
        <v>60</v>
      </c>
      <c r="F120" s="106">
        <v>40</v>
      </c>
      <c r="G120" s="86">
        <f t="shared" si="2"/>
        <v>2400</v>
      </c>
      <c r="H120" s="7"/>
      <c r="I120" s="7"/>
      <c r="J120" s="7"/>
    </row>
    <row r="121" spans="1:10" ht="15.75" x14ac:dyDescent="0.25">
      <c r="A121" s="289" t="s">
        <v>572</v>
      </c>
      <c r="B121" s="399"/>
      <c r="C121" s="399"/>
      <c r="D121" s="400"/>
      <c r="E121" s="290"/>
      <c r="F121" s="290"/>
      <c r="G121" s="86"/>
      <c r="H121" s="7"/>
      <c r="I121" s="7"/>
      <c r="J121" s="7"/>
    </row>
    <row r="122" spans="1:10" ht="15.75" x14ac:dyDescent="0.25">
      <c r="A122" s="266" t="s">
        <v>573</v>
      </c>
      <c r="B122" s="399"/>
      <c r="C122" s="399"/>
      <c r="D122" s="400" t="s">
        <v>91</v>
      </c>
      <c r="E122" s="103">
        <v>3</v>
      </c>
      <c r="F122" s="106">
        <v>1500</v>
      </c>
      <c r="G122" s="86">
        <f t="shared" si="2"/>
        <v>4500</v>
      </c>
      <c r="H122" s="7"/>
      <c r="I122" s="7"/>
      <c r="J122" s="7"/>
    </row>
    <row r="123" spans="1:10" ht="15.75" x14ac:dyDescent="0.25">
      <c r="A123" s="264" t="s">
        <v>574</v>
      </c>
      <c r="B123" s="399"/>
      <c r="C123" s="399"/>
      <c r="D123" s="400" t="s">
        <v>91</v>
      </c>
      <c r="E123" s="103">
        <v>1</v>
      </c>
      <c r="F123" s="106">
        <v>300</v>
      </c>
      <c r="G123" s="86">
        <f t="shared" si="2"/>
        <v>300</v>
      </c>
      <c r="H123" s="7"/>
      <c r="I123" s="7"/>
      <c r="J123" s="7"/>
    </row>
    <row r="124" spans="1:10" ht="15.75" x14ac:dyDescent="0.25">
      <c r="A124" s="264" t="s">
        <v>574</v>
      </c>
      <c r="B124" s="399"/>
      <c r="C124" s="399"/>
      <c r="D124" s="400" t="s">
        <v>91</v>
      </c>
      <c r="E124" s="103">
        <v>1</v>
      </c>
      <c r="F124" s="106">
        <v>500</v>
      </c>
      <c r="G124" s="86">
        <f t="shared" ref="G124:G132" si="3">E124*F124</f>
        <v>500</v>
      </c>
      <c r="H124" s="7"/>
      <c r="I124" s="7"/>
      <c r="J124" s="7"/>
    </row>
    <row r="125" spans="1:10" ht="15.75" x14ac:dyDescent="0.25">
      <c r="A125" s="264" t="s">
        <v>575</v>
      </c>
      <c r="B125" s="399"/>
      <c r="C125" s="399"/>
      <c r="D125" s="400" t="s">
        <v>91</v>
      </c>
      <c r="E125" s="103">
        <v>1</v>
      </c>
      <c r="F125" s="106">
        <v>850</v>
      </c>
      <c r="G125" s="86">
        <f t="shared" si="3"/>
        <v>850</v>
      </c>
      <c r="H125" s="7"/>
      <c r="I125" s="7"/>
      <c r="J125" s="7"/>
    </row>
    <row r="126" spans="1:10" ht="15.75" x14ac:dyDescent="0.25">
      <c r="A126" s="264" t="s">
        <v>576</v>
      </c>
      <c r="B126" s="399"/>
      <c r="C126" s="399"/>
      <c r="D126" s="400" t="s">
        <v>91</v>
      </c>
      <c r="E126" s="103">
        <v>2</v>
      </c>
      <c r="F126" s="106">
        <v>226</v>
      </c>
      <c r="G126" s="86">
        <f t="shared" si="3"/>
        <v>452</v>
      </c>
      <c r="H126" s="7"/>
      <c r="I126" s="7"/>
      <c r="J126" s="7"/>
    </row>
    <row r="127" spans="1:10" ht="15.75" x14ac:dyDescent="0.25">
      <c r="A127" s="264" t="s">
        <v>576</v>
      </c>
      <c r="B127" s="399"/>
      <c r="C127" s="399"/>
      <c r="D127" s="400" t="s">
        <v>91</v>
      </c>
      <c r="E127" s="103">
        <v>1</v>
      </c>
      <c r="F127" s="106">
        <v>230</v>
      </c>
      <c r="G127" s="86">
        <f t="shared" si="3"/>
        <v>230</v>
      </c>
      <c r="H127" s="7"/>
      <c r="I127" s="7"/>
      <c r="J127" s="7"/>
    </row>
    <row r="128" spans="1:10" ht="15.75" x14ac:dyDescent="0.25">
      <c r="A128" s="289" t="s">
        <v>279</v>
      </c>
      <c r="B128" s="399"/>
      <c r="C128" s="399"/>
      <c r="D128" s="400"/>
      <c r="E128" s="358"/>
      <c r="F128" s="454"/>
      <c r="G128" s="86"/>
      <c r="H128" s="7"/>
      <c r="I128" s="7"/>
      <c r="J128" s="7"/>
    </row>
    <row r="129" spans="1:11" ht="15.75" x14ac:dyDescent="0.25">
      <c r="A129" s="266" t="s">
        <v>254</v>
      </c>
      <c r="B129" s="399"/>
      <c r="C129" s="399"/>
      <c r="D129" s="400" t="s">
        <v>91</v>
      </c>
      <c r="E129" s="103">
        <v>40</v>
      </c>
      <c r="F129" s="106">
        <v>281.7</v>
      </c>
      <c r="G129" s="86">
        <f t="shared" si="3"/>
        <v>11268</v>
      </c>
      <c r="H129" s="7"/>
      <c r="I129" s="7"/>
      <c r="J129" s="7"/>
    </row>
    <row r="130" spans="1:11" ht="15.75" x14ac:dyDescent="0.25">
      <c r="A130" s="266" t="s">
        <v>577</v>
      </c>
      <c r="B130" s="399"/>
      <c r="C130" s="399"/>
      <c r="D130" s="400" t="s">
        <v>91</v>
      </c>
      <c r="E130" s="103">
        <v>24</v>
      </c>
      <c r="F130" s="106">
        <v>500</v>
      </c>
      <c r="G130" s="86">
        <f t="shared" si="3"/>
        <v>12000</v>
      </c>
      <c r="H130" s="7"/>
      <c r="I130" s="7"/>
      <c r="J130" s="7"/>
    </row>
    <row r="131" spans="1:11" ht="15.75" x14ac:dyDescent="0.25">
      <c r="A131" s="289" t="s">
        <v>280</v>
      </c>
      <c r="B131" s="399"/>
      <c r="C131" s="399"/>
      <c r="D131" s="400"/>
      <c r="E131" s="445"/>
      <c r="F131" s="451"/>
      <c r="G131" s="86"/>
      <c r="H131" s="7"/>
      <c r="I131" s="7"/>
      <c r="J131" s="7"/>
    </row>
    <row r="132" spans="1:11" ht="15.75" x14ac:dyDescent="0.25">
      <c r="A132" s="99" t="s">
        <v>281</v>
      </c>
      <c r="B132" s="399"/>
      <c r="C132" s="399"/>
      <c r="D132" s="400" t="s">
        <v>91</v>
      </c>
      <c r="E132" s="105">
        <v>88</v>
      </c>
      <c r="F132" s="105">
        <v>150</v>
      </c>
      <c r="G132" s="86">
        <f t="shared" si="3"/>
        <v>13200</v>
      </c>
      <c r="H132" s="7"/>
      <c r="I132" s="7"/>
      <c r="J132" s="7"/>
    </row>
    <row r="133" spans="1:11" ht="14.45" customHeight="1" x14ac:dyDescent="0.25">
      <c r="A133" s="740" t="s">
        <v>87</v>
      </c>
      <c r="B133" s="741"/>
      <c r="C133" s="345"/>
      <c r="D133" s="81"/>
      <c r="E133" s="81"/>
      <c r="F133" s="175"/>
      <c r="G133" s="410">
        <f>SUM(G59:G132)</f>
        <v>613250</v>
      </c>
      <c r="H133" s="7"/>
      <c r="I133" s="7"/>
      <c r="J133" s="7"/>
    </row>
    <row r="134" spans="1:11" ht="36.75" customHeight="1" x14ac:dyDescent="0.25">
      <c r="A134" s="742" t="s">
        <v>607</v>
      </c>
      <c r="B134" s="742"/>
      <c r="C134" s="742"/>
      <c r="D134" s="742"/>
      <c r="E134" s="742"/>
      <c r="F134" s="742"/>
      <c r="G134" s="179"/>
      <c r="H134" s="7"/>
      <c r="I134" s="7"/>
      <c r="J134" s="7"/>
    </row>
    <row r="135" spans="1:11" ht="15.75" x14ac:dyDescent="0.25">
      <c r="A135" s="11"/>
      <c r="B135" s="11"/>
      <c r="C135" s="11"/>
      <c r="D135" s="11"/>
      <c r="E135" s="11"/>
      <c r="F135" s="100">
        <f>D44</f>
        <v>0.26300000000000001</v>
      </c>
      <c r="G135" s="179"/>
      <c r="H135" s="7"/>
      <c r="I135" s="7"/>
      <c r="J135" s="7"/>
    </row>
    <row r="136" spans="1:11" ht="15.75" x14ac:dyDescent="0.25">
      <c r="A136" s="708" t="s">
        <v>0</v>
      </c>
      <c r="B136" s="708"/>
      <c r="C136" s="338"/>
      <c r="D136" s="708" t="s">
        <v>1</v>
      </c>
      <c r="E136" s="709" t="s">
        <v>2</v>
      </c>
      <c r="F136" s="709" t="s">
        <v>43</v>
      </c>
      <c r="G136" s="709" t="s">
        <v>606</v>
      </c>
      <c r="H136" s="739" t="s">
        <v>6</v>
      </c>
      <c r="I136" s="7"/>
      <c r="J136" s="7"/>
      <c r="K136" s="7"/>
    </row>
    <row r="137" spans="1:11" ht="53.25" customHeight="1" x14ac:dyDescent="0.25">
      <c r="A137" s="708"/>
      <c r="B137" s="708"/>
      <c r="C137" s="338"/>
      <c r="D137" s="708"/>
      <c r="E137" s="710"/>
      <c r="F137" s="710"/>
      <c r="G137" s="710"/>
      <c r="H137" s="739"/>
      <c r="I137" s="7"/>
      <c r="J137" s="7"/>
      <c r="K137" s="7"/>
    </row>
    <row r="138" spans="1:11" ht="15.75" x14ac:dyDescent="0.25">
      <c r="A138" s="708">
        <v>1</v>
      </c>
      <c r="B138" s="708"/>
      <c r="C138" s="338"/>
      <c r="D138" s="338">
        <v>2</v>
      </c>
      <c r="E138" s="338">
        <v>3</v>
      </c>
      <c r="F138" s="338" t="s">
        <v>41</v>
      </c>
      <c r="G138" s="479">
        <v>5</v>
      </c>
      <c r="H138" s="344" t="s">
        <v>608</v>
      </c>
      <c r="I138" s="7"/>
      <c r="J138" s="7"/>
      <c r="K138" s="7"/>
    </row>
    <row r="139" spans="1:11" ht="15.75" x14ac:dyDescent="0.25">
      <c r="A139" s="690" t="str">
        <f>'инновации+добровольчество'!A93:B93</f>
        <v>Заведующий МЦ</v>
      </c>
      <c r="B139" s="690"/>
      <c r="C139" s="110"/>
      <c r="D139" s="82">
        <f>'инновации+добровольчество'!D93</f>
        <v>70153.25</v>
      </c>
      <c r="E139" s="72">
        <f>1*F135</f>
        <v>0.26300000000000001</v>
      </c>
      <c r="F139" s="79">
        <f>D139*E139</f>
        <v>18450.304749999999</v>
      </c>
      <c r="G139" s="79">
        <v>942.64</v>
      </c>
      <c r="H139" s="344">
        <f>F139*12*1.302+844.59+G139</f>
        <v>290054.79141400004</v>
      </c>
      <c r="I139" s="7"/>
      <c r="J139" s="7"/>
      <c r="K139" s="7"/>
    </row>
    <row r="140" spans="1:11" ht="15.75" x14ac:dyDescent="0.25">
      <c r="A140" s="586" t="s">
        <v>153</v>
      </c>
      <c r="B140" s="586"/>
      <c r="C140" s="109"/>
      <c r="D140" s="82">
        <f>патриотика!D97</f>
        <v>25675</v>
      </c>
      <c r="E140" s="338">
        <f>1*F135</f>
        <v>0.26300000000000001</v>
      </c>
      <c r="F140" s="79">
        <f t="shared" ref="F140:F142" si="4">D140*E140</f>
        <v>6752.5250000000005</v>
      </c>
      <c r="G140" s="79">
        <v>942.64</v>
      </c>
      <c r="H140" s="344">
        <f>F140*12*1.302+G140</f>
        <v>106444.09060000001</v>
      </c>
      <c r="I140" s="7"/>
      <c r="J140" s="7"/>
      <c r="K140" s="7"/>
    </row>
    <row r="141" spans="1:11" ht="15.75" x14ac:dyDescent="0.25">
      <c r="A141" s="582" t="s">
        <v>96</v>
      </c>
      <c r="B141" s="583"/>
      <c r="C141" s="109"/>
      <c r="D141" s="82">
        <f>патриотика!D98</f>
        <v>25675</v>
      </c>
      <c r="E141" s="338">
        <f>1*F135/2</f>
        <v>0.13150000000000001</v>
      </c>
      <c r="F141" s="79">
        <f t="shared" si="4"/>
        <v>3376.2625000000003</v>
      </c>
      <c r="G141" s="79">
        <v>471.32</v>
      </c>
      <c r="H141" s="344">
        <f>F141*12*1.302+G141</f>
        <v>53222.045300000005</v>
      </c>
      <c r="I141" s="7"/>
      <c r="J141" s="7"/>
      <c r="K141" s="7"/>
    </row>
    <row r="142" spans="1:11" ht="15.75" x14ac:dyDescent="0.25">
      <c r="A142" s="586" t="s">
        <v>154</v>
      </c>
      <c r="B142" s="586"/>
      <c r="C142" s="109"/>
      <c r="D142" s="82">
        <f>патриотика!D99</f>
        <v>25675</v>
      </c>
      <c r="E142" s="338">
        <f>1*F135</f>
        <v>0.26300000000000001</v>
      </c>
      <c r="F142" s="79">
        <f t="shared" si="4"/>
        <v>6752.5250000000005</v>
      </c>
      <c r="G142" s="79">
        <v>942.64</v>
      </c>
      <c r="H142" s="344">
        <f>F142*12*1.302+G142</f>
        <v>106444.09060000001</v>
      </c>
      <c r="I142" s="7"/>
      <c r="J142" s="7"/>
      <c r="K142" s="7"/>
    </row>
    <row r="143" spans="1:11" ht="18.75" x14ac:dyDescent="0.3">
      <c r="A143" s="708" t="s">
        <v>28</v>
      </c>
      <c r="B143" s="708"/>
      <c r="C143" s="708"/>
      <c r="D143" s="708"/>
      <c r="E143" s="708"/>
      <c r="F143" s="708"/>
      <c r="G143" s="479"/>
      <c r="H143" s="421">
        <f>SUM(H139:H142)</f>
        <v>556165.01791400008</v>
      </c>
      <c r="I143" s="7"/>
      <c r="J143" s="7"/>
      <c r="K143" s="7"/>
    </row>
    <row r="144" spans="1:11" ht="14.45" hidden="1" customHeight="1" x14ac:dyDescent="0.25">
      <c r="A144" s="588" t="s">
        <v>179</v>
      </c>
      <c r="B144" s="588"/>
      <c r="C144" s="588"/>
      <c r="D144" s="588"/>
      <c r="E144" s="588"/>
      <c r="F144" s="588"/>
      <c r="G144" s="588"/>
      <c r="H144" s="588"/>
      <c r="I144" s="476"/>
    </row>
    <row r="145" spans="1:9" ht="14.45" hidden="1" customHeight="1" x14ac:dyDescent="0.25">
      <c r="A145" s="550" t="s">
        <v>65</v>
      </c>
      <c r="B145" s="599" t="s">
        <v>167</v>
      </c>
      <c r="C145" s="721"/>
      <c r="D145" s="552" t="s">
        <v>168</v>
      </c>
      <c r="E145" s="631"/>
      <c r="F145" s="631"/>
      <c r="G145" s="631"/>
      <c r="H145" s="553"/>
      <c r="I145" s="228"/>
    </row>
    <row r="146" spans="1:9" ht="14.45" hidden="1" customHeight="1" x14ac:dyDescent="0.25">
      <c r="A146" s="554"/>
      <c r="B146" s="601"/>
      <c r="C146" s="602"/>
      <c r="D146" s="556" t="s">
        <v>169</v>
      </c>
      <c r="E146" s="550" t="s">
        <v>170</v>
      </c>
      <c r="F146" s="681" t="s">
        <v>171</v>
      </c>
      <c r="G146" s="550" t="s">
        <v>177</v>
      </c>
      <c r="H146" s="550" t="s">
        <v>6</v>
      </c>
      <c r="I146" s="749"/>
    </row>
    <row r="147" spans="1:9" hidden="1" x14ac:dyDescent="0.25">
      <c r="A147" s="551"/>
      <c r="B147" s="603"/>
      <c r="C147" s="604"/>
      <c r="D147" s="682"/>
      <c r="E147" s="551"/>
      <c r="F147" s="607"/>
      <c r="G147" s="551"/>
      <c r="H147" s="551"/>
      <c r="I147" s="749"/>
    </row>
    <row r="148" spans="1:9" hidden="1" x14ac:dyDescent="0.25">
      <c r="A148" s="328">
        <v>1</v>
      </c>
      <c r="B148" s="552">
        <v>2</v>
      </c>
      <c r="C148" s="553"/>
      <c r="D148" s="328">
        <v>3</v>
      </c>
      <c r="E148" s="328">
        <v>4</v>
      </c>
      <c r="F148" s="328">
        <v>5</v>
      </c>
      <c r="G148" s="328">
        <v>6</v>
      </c>
      <c r="H148" s="328">
        <v>7</v>
      </c>
      <c r="I148" s="228"/>
    </row>
    <row r="149" spans="1:9" hidden="1" x14ac:dyDescent="0.25">
      <c r="A149" s="325" t="s">
        <v>172</v>
      </c>
      <c r="B149" s="328">
        <v>0.24</v>
      </c>
      <c r="C149" s="326">
        <v>1</v>
      </c>
      <c r="D149" s="162">
        <v>30497.8</v>
      </c>
      <c r="E149" s="121">
        <v>41441.4</v>
      </c>
      <c r="F149" s="162">
        <f>30497.8*0.24</f>
        <v>7319.4719999999998</v>
      </c>
      <c r="G149" s="198">
        <f>F149*30.2%</f>
        <v>2210.480544</v>
      </c>
      <c r="H149" s="198">
        <f>F149+G149</f>
        <v>9529.9525439999998</v>
      </c>
      <c r="I149" s="750"/>
    </row>
    <row r="150" spans="1:9" hidden="1" x14ac:dyDescent="0.25">
      <c r="A150" s="325" t="s">
        <v>174</v>
      </c>
      <c r="B150" s="328">
        <v>0.24</v>
      </c>
      <c r="C150" s="326"/>
      <c r="D150" s="162">
        <v>8353.5499999999993</v>
      </c>
      <c r="E150" s="121">
        <v>11244.72</v>
      </c>
      <c r="F150" s="162">
        <f>8353.55*0.24</f>
        <v>2004.8519999999999</v>
      </c>
      <c r="G150" s="198">
        <f t="shared" ref="G150:G153" si="5">F150*30.2%</f>
        <v>605.46530399999995</v>
      </c>
      <c r="H150" s="198">
        <f t="shared" ref="H150:H153" si="6">F150+G150</f>
        <v>2610.3173039999997</v>
      </c>
      <c r="I150" s="750"/>
    </row>
    <row r="151" spans="1:9" hidden="1" x14ac:dyDescent="0.25">
      <c r="A151" s="325" t="s">
        <v>175</v>
      </c>
      <c r="B151" s="328">
        <f>0.5*0.24</f>
        <v>0.12</v>
      </c>
      <c r="C151" s="326"/>
      <c r="D151" s="162">
        <v>3761.62</v>
      </c>
      <c r="E151" s="121">
        <v>4983</v>
      </c>
      <c r="F151" s="162">
        <f>3761.62*0.24</f>
        <v>902.78879999999992</v>
      </c>
      <c r="G151" s="198">
        <f t="shared" si="5"/>
        <v>272.64221759999998</v>
      </c>
      <c r="H151" s="198">
        <f t="shared" si="6"/>
        <v>1175.4310175999999</v>
      </c>
      <c r="I151" s="750"/>
    </row>
    <row r="152" spans="1:9" hidden="1" x14ac:dyDescent="0.25">
      <c r="A152" s="325" t="s">
        <v>154</v>
      </c>
      <c r="B152" s="328">
        <f>1*0.24</f>
        <v>0.24</v>
      </c>
      <c r="C152" s="326"/>
      <c r="D152" s="162">
        <v>6266.1</v>
      </c>
      <c r="E152" s="121">
        <v>8398.2000000000007</v>
      </c>
      <c r="F152" s="162">
        <f>6266.1*0.24</f>
        <v>1503.864</v>
      </c>
      <c r="G152" s="198">
        <f t="shared" si="5"/>
        <v>454.16692799999998</v>
      </c>
      <c r="H152" s="198">
        <f t="shared" si="6"/>
        <v>1958.0309280000001</v>
      </c>
      <c r="I152" s="750"/>
    </row>
    <row r="153" spans="1:9" hidden="1" x14ac:dyDescent="0.25">
      <c r="A153" s="325" t="s">
        <v>176</v>
      </c>
      <c r="B153" s="328">
        <f>3*0.24</f>
        <v>0.72</v>
      </c>
      <c r="C153" s="326"/>
      <c r="D153" s="162">
        <v>20749.32</v>
      </c>
      <c r="E153" s="121">
        <v>28148.04</v>
      </c>
      <c r="F153" s="162">
        <f>20749.32*0.24</f>
        <v>4979.8368</v>
      </c>
      <c r="G153" s="198">
        <f t="shared" si="5"/>
        <v>1503.9107136</v>
      </c>
      <c r="H153" s="198">
        <f t="shared" si="6"/>
        <v>6483.7475136000003</v>
      </c>
      <c r="I153" s="750"/>
    </row>
    <row r="154" spans="1:9" ht="18.75" hidden="1" x14ac:dyDescent="0.25">
      <c r="A154" s="165"/>
      <c r="B154" s="329"/>
      <c r="C154" s="166"/>
      <c r="D154" s="138">
        <f>SUM(D149:D153)</f>
        <v>69628.39</v>
      </c>
      <c r="E154" s="138">
        <f>SUM(E149:E153)</f>
        <v>94215.360000000015</v>
      </c>
      <c r="F154" s="138">
        <f>SUM(F149:F153)</f>
        <v>16710.813600000001</v>
      </c>
      <c r="G154" s="138">
        <f>SUM(G149:G153)</f>
        <v>5046.6657071999998</v>
      </c>
      <c r="H154" s="263"/>
      <c r="I154" s="250"/>
    </row>
    <row r="155" spans="1:9" ht="18.75" x14ac:dyDescent="0.25">
      <c r="A155" s="322"/>
      <c r="B155" s="163"/>
      <c r="C155" s="163"/>
      <c r="D155" s="227"/>
      <c r="E155" s="227"/>
      <c r="F155" s="227"/>
      <c r="G155" s="227"/>
      <c r="H155" s="250"/>
      <c r="I155" s="250"/>
    </row>
    <row r="156" spans="1:9" ht="18.75" x14ac:dyDescent="0.25">
      <c r="A156" s="322"/>
      <c r="B156" s="163"/>
      <c r="C156" s="163"/>
      <c r="D156" s="227"/>
      <c r="E156" s="227"/>
      <c r="F156" s="227"/>
      <c r="G156" s="227"/>
      <c r="H156" s="250"/>
      <c r="I156" s="250"/>
    </row>
    <row r="157" spans="1:9" ht="14.45" customHeight="1" x14ac:dyDescent="0.25">
      <c r="A157" s="588" t="s">
        <v>198</v>
      </c>
      <c r="B157" s="588"/>
      <c r="C157" s="588"/>
      <c r="D157" s="598"/>
      <c r="E157" s="598"/>
      <c r="F157" s="598"/>
      <c r="G157" s="598"/>
      <c r="H157" s="598"/>
      <c r="I157" s="476"/>
    </row>
    <row r="158" spans="1:9" ht="14.45" customHeight="1" x14ac:dyDescent="0.25">
      <c r="A158" s="550" t="s">
        <v>65</v>
      </c>
      <c r="B158" s="599" t="s">
        <v>167</v>
      </c>
      <c r="C158" s="600"/>
      <c r="D158" s="579"/>
      <c r="E158" s="605"/>
      <c r="F158" s="580"/>
      <c r="G158" s="228"/>
      <c r="H158" s="228"/>
      <c r="I158" s="228"/>
    </row>
    <row r="159" spans="1:9" ht="14.45" customHeight="1" x14ac:dyDescent="0.25">
      <c r="A159" s="554"/>
      <c r="B159" s="601"/>
      <c r="C159" s="602"/>
      <c r="D159" s="606" t="s">
        <v>171</v>
      </c>
      <c r="E159" s="554" t="s">
        <v>177</v>
      </c>
      <c r="F159" s="554" t="s">
        <v>6</v>
      </c>
      <c r="G159" s="45"/>
    </row>
    <row r="160" spans="1:9" x14ac:dyDescent="0.25">
      <c r="A160" s="551"/>
      <c r="B160" s="603"/>
      <c r="C160" s="604"/>
      <c r="D160" s="607"/>
      <c r="E160" s="551"/>
      <c r="F160" s="551"/>
      <c r="G160" s="45"/>
    </row>
    <row r="161" spans="1:10" x14ac:dyDescent="0.25">
      <c r="A161" s="328">
        <v>1</v>
      </c>
      <c r="B161" s="552">
        <v>2</v>
      </c>
      <c r="C161" s="553"/>
      <c r="D161" s="328">
        <v>5</v>
      </c>
      <c r="E161" s="328">
        <v>6</v>
      </c>
      <c r="F161" s="328">
        <v>7</v>
      </c>
      <c r="G161" s="45"/>
    </row>
    <row r="162" spans="1:10" x14ac:dyDescent="0.25">
      <c r="A162" s="325" t="s">
        <v>174</v>
      </c>
      <c r="B162" s="293">
        <f>E140</f>
        <v>0.26300000000000001</v>
      </c>
      <c r="C162" s="326"/>
      <c r="D162" s="162">
        <f>'инновации+добровольчество'!D106</f>
        <v>32258.06</v>
      </c>
      <c r="E162" s="198">
        <f t="shared" ref="E162:E164" si="7">D162*30.2%</f>
        <v>9741.9341199999999</v>
      </c>
      <c r="F162" s="198">
        <f>(D162+E162)*0.263</f>
        <v>11045.998453560002</v>
      </c>
      <c r="G162" s="45"/>
    </row>
    <row r="163" spans="1:10" x14ac:dyDescent="0.25">
      <c r="A163" s="325" t="s">
        <v>175</v>
      </c>
      <c r="B163" s="293">
        <f>E141</f>
        <v>0.13150000000000001</v>
      </c>
      <c r="C163" s="326"/>
      <c r="D163" s="162">
        <f>'инновации+добровольчество'!D107</f>
        <v>16129.03</v>
      </c>
      <c r="E163" s="198">
        <f t="shared" si="7"/>
        <v>4870.9670599999999</v>
      </c>
      <c r="F163" s="198">
        <f t="shared" ref="F163:F164" si="8">(D163+E163)*0.263</f>
        <v>5522.9992267800008</v>
      </c>
      <c r="G163" s="45"/>
    </row>
    <row r="164" spans="1:10" x14ac:dyDescent="0.25">
      <c r="A164" s="325" t="s">
        <v>154</v>
      </c>
      <c r="B164" s="293">
        <f>E142</f>
        <v>0.26300000000000001</v>
      </c>
      <c r="C164" s="326"/>
      <c r="D164" s="162">
        <f>'инновации+добровольчество'!D108</f>
        <v>32258.06</v>
      </c>
      <c r="E164" s="198">
        <f t="shared" si="7"/>
        <v>9741.9341199999999</v>
      </c>
      <c r="F164" s="198">
        <f t="shared" si="8"/>
        <v>11045.998453560002</v>
      </c>
      <c r="G164" s="45"/>
    </row>
    <row r="165" spans="1:10" x14ac:dyDescent="0.25">
      <c r="A165" s="165"/>
      <c r="B165" s="329"/>
      <c r="C165" s="166"/>
      <c r="D165" s="138">
        <f>SUM(D162:D164)</f>
        <v>80645.150000000009</v>
      </c>
      <c r="E165" s="138">
        <f>SUM(E162:E164)</f>
        <v>24354.835299999999</v>
      </c>
      <c r="F165" s="423">
        <f>SUM(F162:F164)</f>
        <v>27614.996133900004</v>
      </c>
      <c r="G165" s="45"/>
    </row>
    <row r="166" spans="1:10" ht="15.75" x14ac:dyDescent="0.25">
      <c r="A166" s="4" t="s">
        <v>48</v>
      </c>
      <c r="B166" s="173"/>
      <c r="C166" s="173"/>
      <c r="D166" s="173"/>
      <c r="E166" s="173"/>
      <c r="F166" s="173"/>
      <c r="G166" s="179"/>
      <c r="H166" s="7"/>
      <c r="I166" s="7"/>
      <c r="J166" s="7"/>
    </row>
    <row r="167" spans="1:10" ht="15.75" x14ac:dyDescent="0.25">
      <c r="A167" s="4" t="s">
        <v>92</v>
      </c>
      <c r="B167" s="173"/>
      <c r="C167" s="173"/>
      <c r="D167" s="173"/>
      <c r="E167" s="173"/>
      <c r="F167" s="173"/>
      <c r="G167" s="179"/>
      <c r="H167" s="7"/>
      <c r="I167" s="7"/>
      <c r="J167" s="7"/>
    </row>
    <row r="168" spans="1:10" ht="15.75" x14ac:dyDescent="0.25">
      <c r="A168" s="540" t="s">
        <v>50</v>
      </c>
      <c r="B168" s="540"/>
      <c r="C168" s="540"/>
      <c r="D168" s="540"/>
      <c r="E168" s="540"/>
      <c r="F168" s="173"/>
      <c r="G168" s="179"/>
      <c r="H168" s="7"/>
      <c r="I168" s="7"/>
      <c r="J168" s="7"/>
    </row>
    <row r="169" spans="1:10" ht="15.75" x14ac:dyDescent="0.25">
      <c r="A169" s="173"/>
      <c r="B169" s="173"/>
      <c r="C169" s="173"/>
      <c r="D169" s="173"/>
      <c r="E169" s="173"/>
      <c r="F169" s="178">
        <f>F135</f>
        <v>0.26300000000000001</v>
      </c>
      <c r="G169" s="179"/>
      <c r="H169" s="7"/>
      <c r="I169" s="7"/>
      <c r="J169" s="7"/>
    </row>
    <row r="170" spans="1:10" ht="15.75" x14ac:dyDescent="0.25">
      <c r="A170" s="708" t="s">
        <v>13</v>
      </c>
      <c r="B170" s="708" t="s">
        <v>11</v>
      </c>
      <c r="C170" s="338"/>
      <c r="D170" s="708" t="s">
        <v>14</v>
      </c>
      <c r="E170" s="708" t="s">
        <v>99</v>
      </c>
      <c r="F170" s="708" t="s">
        <v>6</v>
      </c>
      <c r="G170" s="179"/>
      <c r="H170" s="7"/>
      <c r="I170" s="7"/>
      <c r="J170" s="7"/>
    </row>
    <row r="171" spans="1:10" ht="3.6" customHeight="1" x14ac:dyDescent="0.25">
      <c r="A171" s="708"/>
      <c r="B171" s="708"/>
      <c r="C171" s="338"/>
      <c r="D171" s="708"/>
      <c r="E171" s="708"/>
      <c r="F171" s="708"/>
      <c r="G171" s="179"/>
      <c r="H171" s="7"/>
      <c r="I171" s="7"/>
      <c r="J171" s="7"/>
    </row>
    <row r="172" spans="1:10" ht="15.75" x14ac:dyDescent="0.25">
      <c r="A172" s="338">
        <v>1</v>
      </c>
      <c r="B172" s="338">
        <v>2</v>
      </c>
      <c r="C172" s="338"/>
      <c r="D172" s="338">
        <v>3</v>
      </c>
      <c r="E172" s="338">
        <v>4</v>
      </c>
      <c r="F172" s="338" t="s">
        <v>186</v>
      </c>
      <c r="G172" s="179"/>
      <c r="H172" s="7"/>
      <c r="I172" s="7"/>
      <c r="J172" s="7"/>
    </row>
    <row r="173" spans="1:10" ht="15.75" x14ac:dyDescent="0.25">
      <c r="A173" s="85" t="str">
        <f>'инновации+добровольчество'!A126</f>
        <v>Теплоэнергия</v>
      </c>
      <c r="B173" s="338" t="str">
        <f>'инновации+добровольчество'!B126</f>
        <v>Гкал</v>
      </c>
      <c r="C173" s="338"/>
      <c r="D173" s="79">
        <f>55*F169</f>
        <v>14.465</v>
      </c>
      <c r="E173" s="79">
        <f>'инновации+добровольчество'!E126</f>
        <v>2974.26</v>
      </c>
      <c r="F173" s="79">
        <f>D173*E173</f>
        <v>43022.670900000005</v>
      </c>
      <c r="G173" s="179"/>
      <c r="H173" s="7"/>
      <c r="I173" s="7"/>
      <c r="J173" s="7"/>
    </row>
    <row r="174" spans="1:10" ht="15.75" x14ac:dyDescent="0.25">
      <c r="A174" s="85" t="str">
        <f>'инновации+добровольчество'!A127</f>
        <v>Водоснабжение 1 полугодие</v>
      </c>
      <c r="B174" s="338" t="str">
        <f>'инновации+добровольчество'!B127</f>
        <v>м3</v>
      </c>
      <c r="C174" s="338"/>
      <c r="D174" s="338">
        <f>106.3*F169</f>
        <v>27.956900000000001</v>
      </c>
      <c r="E174" s="79">
        <f>'инновации+добровольчество'!E127</f>
        <v>55.18</v>
      </c>
      <c r="F174" s="79">
        <f t="shared" ref="F174:F177" si="9">D174*E174</f>
        <v>1542.661742</v>
      </c>
      <c r="G174" s="179"/>
      <c r="H174" s="7"/>
      <c r="I174" s="7"/>
      <c r="J174" s="7"/>
    </row>
    <row r="175" spans="1:10" ht="15.75" x14ac:dyDescent="0.25">
      <c r="A175" s="85" t="str">
        <f>'инновации+добровольчество'!A128</f>
        <v>Водоснабжение 2 полугодие</v>
      </c>
      <c r="B175" s="338" t="str">
        <f>'инновации+добровольчество'!B128</f>
        <v>м3</v>
      </c>
      <c r="C175" s="338"/>
      <c r="D175" s="338">
        <f>106.3*F169</f>
        <v>27.956900000000001</v>
      </c>
      <c r="E175" s="79">
        <f>'инновации+добровольчество'!E128</f>
        <v>56.66</v>
      </c>
      <c r="F175" s="79">
        <f t="shared" si="9"/>
        <v>1584.0379539999999</v>
      </c>
      <c r="G175" s="179"/>
      <c r="H175" s="7"/>
      <c r="I175" s="7"/>
      <c r="J175" s="7"/>
    </row>
    <row r="176" spans="1:10" ht="15.75" x14ac:dyDescent="0.25">
      <c r="A176" s="85" t="str">
        <f>'инновации+добровольчество'!A129</f>
        <v>Электроэнергия</v>
      </c>
      <c r="B176" s="338" t="str">
        <f>'инновации+добровольчество'!B129</f>
        <v>КВТ/ч</v>
      </c>
      <c r="C176" s="338"/>
      <c r="D176" s="79">
        <f>10.36*F169</f>
        <v>2.7246799999999998</v>
      </c>
      <c r="E176" s="79">
        <f>'инновации+добровольчество'!E129</f>
        <v>7415.06</v>
      </c>
      <c r="F176" s="79">
        <f t="shared" si="9"/>
        <v>20203.665680800001</v>
      </c>
      <c r="G176" s="179"/>
      <c r="H176" s="7"/>
      <c r="I176" s="7"/>
      <c r="J176" s="7"/>
    </row>
    <row r="177" spans="1:10" ht="15.75" x14ac:dyDescent="0.25">
      <c r="A177" s="271" t="str">
        <f>'инновации+добровольчество'!A130</f>
        <v>Водоотведение (септик)  откачка асс. машиной 6 раз в год</v>
      </c>
      <c r="B177" s="338" t="str">
        <f>'инновации+добровольчество'!B130</f>
        <v>дог</v>
      </c>
      <c r="C177" s="328"/>
      <c r="D177" s="181">
        <f>12*F169</f>
        <v>3.1560000000000001</v>
      </c>
      <c r="E177" s="79">
        <f>'инновации+добровольчество'!E130</f>
        <v>6334.56</v>
      </c>
      <c r="F177" s="79">
        <f t="shared" si="9"/>
        <v>19991.871360000001</v>
      </c>
      <c r="G177" s="179"/>
      <c r="H177" s="7"/>
      <c r="I177" s="7"/>
      <c r="J177" s="7"/>
    </row>
    <row r="178" spans="1:10" ht="15.75" x14ac:dyDescent="0.25">
      <c r="A178" s="271" t="str">
        <f>'инновации+добровольчество'!A131</f>
        <v>ТКО</v>
      </c>
      <c r="B178" s="338" t="str">
        <f>B175</f>
        <v>м3</v>
      </c>
      <c r="C178" s="328"/>
      <c r="D178" s="181">
        <f>3.636*D190</f>
        <v>0.95626800000000012</v>
      </c>
      <c r="E178" s="79">
        <v>2170.58</v>
      </c>
      <c r="F178" s="79">
        <f>D178*E178</f>
        <v>2075.6561954400004</v>
      </c>
      <c r="G178" s="179"/>
      <c r="H178" s="7"/>
      <c r="I178" s="7"/>
      <c r="J178" s="7"/>
    </row>
    <row r="179" spans="1:10" ht="18.75" x14ac:dyDescent="0.25">
      <c r="A179" s="745"/>
      <c r="B179" s="745"/>
      <c r="C179" s="745"/>
      <c r="D179" s="745"/>
      <c r="E179" s="745"/>
      <c r="F179" s="428">
        <f>SUM(F173:F178)</f>
        <v>88420.563832240005</v>
      </c>
      <c r="G179" s="179"/>
      <c r="H179" s="7"/>
      <c r="I179" s="7"/>
      <c r="J179" s="7"/>
    </row>
    <row r="180" spans="1:10" ht="18.75" x14ac:dyDescent="0.25">
      <c r="A180" s="308"/>
      <c r="B180" s="308"/>
      <c r="C180" s="308"/>
      <c r="D180" s="308"/>
      <c r="E180" s="308"/>
      <c r="F180" s="309"/>
      <c r="G180" s="310"/>
      <c r="H180" s="7"/>
      <c r="I180" s="7"/>
      <c r="J180" s="7"/>
    </row>
    <row r="181" spans="1:10" s="7" customFormat="1" ht="25.5" x14ac:dyDescent="0.25">
      <c r="A181" s="324" t="s">
        <v>122</v>
      </c>
      <c r="B181" s="342" t="s">
        <v>123</v>
      </c>
      <c r="C181" s="306"/>
      <c r="D181" s="342" t="s">
        <v>127</v>
      </c>
      <c r="E181" s="342" t="s">
        <v>124</v>
      </c>
      <c r="F181" s="342" t="s">
        <v>125</v>
      </c>
      <c r="G181" s="307" t="s">
        <v>6</v>
      </c>
    </row>
    <row r="182" spans="1:10" s="7" customFormat="1" ht="15.75" x14ac:dyDescent="0.25">
      <c r="A182" s="325">
        <v>1</v>
      </c>
      <c r="B182" s="328">
        <v>2</v>
      </c>
      <c r="C182" s="331"/>
      <c r="D182" s="328">
        <v>3</v>
      </c>
      <c r="E182" s="328">
        <v>4</v>
      </c>
      <c r="F182" s="328">
        <v>5</v>
      </c>
      <c r="G182" s="175" t="s">
        <v>237</v>
      </c>
    </row>
    <row r="183" spans="1:10" s="7" customFormat="1" ht="15.75" x14ac:dyDescent="0.25">
      <c r="A183" s="328" t="s">
        <v>126</v>
      </c>
      <c r="B183" s="328">
        <f>'инновации+добровольчество'!B114</f>
        <v>3</v>
      </c>
      <c r="C183" s="328">
        <f>'инновации+добровольчество'!C114</f>
        <v>0</v>
      </c>
      <c r="D183" s="328">
        <f>'инновации+добровольчество'!D114</f>
        <v>12</v>
      </c>
      <c r="E183" s="328">
        <f>'инновации+добровольчество'!E114</f>
        <v>75</v>
      </c>
      <c r="F183" s="328">
        <f>'инновации+добровольчество'!F114</f>
        <v>2700</v>
      </c>
      <c r="G183" s="176">
        <f>F183*F169</f>
        <v>710.1</v>
      </c>
    </row>
    <row r="184" spans="1:10" s="7" customFormat="1" ht="15.75" x14ac:dyDescent="0.25">
      <c r="A184" s="325" t="s">
        <v>291</v>
      </c>
      <c r="B184" s="328">
        <f>'инновации+добровольчество'!B115</f>
        <v>1</v>
      </c>
      <c r="C184" s="328"/>
      <c r="D184" s="122">
        <f>'инновации+добровольчество'!D115</f>
        <v>5</v>
      </c>
      <c r="E184" s="122">
        <f>'инновации+добровольчество'!E115</f>
        <v>21992.651999999998</v>
      </c>
      <c r="F184" s="121">
        <f>'инновации+добровольчество'!F115</f>
        <v>109963.26</v>
      </c>
      <c r="G184" s="176">
        <f>PRODUCT(F184,0.263)</f>
        <v>28920.337380000001</v>
      </c>
    </row>
    <row r="185" spans="1:10" s="7" customFormat="1" ht="15.75" x14ac:dyDescent="0.25">
      <c r="A185" s="325" t="s">
        <v>292</v>
      </c>
      <c r="B185" s="328">
        <f>'инновации+добровольчество'!B116</f>
        <v>1</v>
      </c>
      <c r="C185" s="328"/>
      <c r="D185" s="122">
        <f>'инновации+добровольчество'!D116</f>
        <v>5</v>
      </c>
      <c r="E185" s="122">
        <f>'инновации+добровольчество'!E116</f>
        <v>20452.009999999998</v>
      </c>
      <c r="F185" s="121">
        <f>'инновации+добровольчество'!F116</f>
        <v>102260.07</v>
      </c>
      <c r="G185" s="176">
        <f t="shared" ref="G185" si="10">PRODUCT(F185,0.263)</f>
        <v>26894.398410000002</v>
      </c>
    </row>
    <row r="186" spans="1:10" s="7" customFormat="1" ht="15.75" x14ac:dyDescent="0.25">
      <c r="A186" s="325" t="s">
        <v>293</v>
      </c>
      <c r="B186" s="328">
        <f>'инновации+добровольчество'!B117</f>
        <v>1</v>
      </c>
      <c r="C186" s="328"/>
      <c r="D186" s="122">
        <f>'инновации+добровольчество'!D117</f>
        <v>5</v>
      </c>
      <c r="E186" s="122">
        <f>'инновации+добровольчество'!E117</f>
        <v>21031.16</v>
      </c>
      <c r="F186" s="121">
        <f>'инновации+добровольчество'!F117</f>
        <v>105155.82</v>
      </c>
      <c r="G186" s="176">
        <f>PRODUCT(F186,0.263)+315.6</f>
        <v>27971.580660000003</v>
      </c>
    </row>
    <row r="187" spans="1:10" s="7" customFormat="1" ht="18.75" x14ac:dyDescent="0.25">
      <c r="A187" s="137"/>
      <c r="B187" s="137"/>
      <c r="C187" s="137"/>
      <c r="D187" s="137"/>
      <c r="E187" s="329" t="s">
        <v>97</v>
      </c>
      <c r="F187" s="138">
        <f>F183</f>
        <v>2700</v>
      </c>
      <c r="G187" s="427">
        <f>G183+G184+G185+G186</f>
        <v>84496.416450000004</v>
      </c>
    </row>
    <row r="188" spans="1:10" ht="15.75" x14ac:dyDescent="0.25">
      <c r="A188" s="699" t="s">
        <v>46</v>
      </c>
      <c r="B188" s="699"/>
      <c r="C188" s="699"/>
      <c r="D188" s="699"/>
      <c r="E188" s="699"/>
      <c r="F188" s="699"/>
      <c r="G188" s="179"/>
      <c r="H188" s="7"/>
      <c r="I188" s="7"/>
      <c r="J188" s="7"/>
    </row>
    <row r="189" spans="1:10" ht="15.75" x14ac:dyDescent="0.25">
      <c r="A189" s="340" t="s">
        <v>88</v>
      </c>
      <c r="B189" s="6" t="s">
        <v>64</v>
      </c>
      <c r="C189" s="6"/>
      <c r="D189" s="6"/>
      <c r="E189" s="7"/>
      <c r="F189" s="7"/>
      <c r="G189" s="179"/>
      <c r="H189" s="7"/>
      <c r="I189" s="7"/>
      <c r="J189" s="7"/>
    </row>
    <row r="190" spans="1:10" ht="15.75" x14ac:dyDescent="0.25">
      <c r="A190" s="7"/>
      <c r="B190" s="7"/>
      <c r="C190" s="7"/>
      <c r="D190" s="170">
        <f>F169</f>
        <v>0.26300000000000001</v>
      </c>
      <c r="E190" s="7"/>
      <c r="F190" s="7"/>
      <c r="G190" s="179"/>
      <c r="H190" s="7"/>
      <c r="I190" s="7"/>
      <c r="J190" s="7"/>
    </row>
    <row r="191" spans="1:10" ht="15" customHeight="1" x14ac:dyDescent="0.25">
      <c r="A191" s="683" t="s">
        <v>133</v>
      </c>
      <c r="B191" s="683"/>
      <c r="C191" s="334"/>
      <c r="D191" s="683" t="s">
        <v>11</v>
      </c>
      <c r="E191" s="334" t="s">
        <v>51</v>
      </c>
      <c r="F191" s="334" t="s">
        <v>15</v>
      </c>
      <c r="G191" s="737" t="s">
        <v>6</v>
      </c>
      <c r="H191" s="7"/>
      <c r="I191" s="7"/>
      <c r="J191" s="7"/>
    </row>
    <row r="192" spans="1:10" ht="15.75" hidden="1" x14ac:dyDescent="0.25">
      <c r="A192" s="683"/>
      <c r="B192" s="683"/>
      <c r="C192" s="334"/>
      <c r="D192" s="683"/>
      <c r="E192" s="334"/>
      <c r="F192" s="334"/>
      <c r="G192" s="738"/>
      <c r="H192" s="7"/>
      <c r="I192" s="7"/>
      <c r="J192" s="7"/>
    </row>
    <row r="193" spans="1:10" ht="15.75" x14ac:dyDescent="0.25">
      <c r="A193" s="684">
        <v>1</v>
      </c>
      <c r="B193" s="685"/>
      <c r="C193" s="333"/>
      <c r="D193" s="334">
        <v>2</v>
      </c>
      <c r="E193" s="334">
        <v>3</v>
      </c>
      <c r="F193" s="334">
        <v>4</v>
      </c>
      <c r="G193" s="91" t="s">
        <v>73</v>
      </c>
      <c r="H193" s="7"/>
      <c r="I193" s="7"/>
      <c r="J193" s="7"/>
    </row>
    <row r="194" spans="1:10" ht="15.75" x14ac:dyDescent="0.25">
      <c r="A194" s="686" t="str">
        <f>A48</f>
        <v>Суточные</v>
      </c>
      <c r="B194" s="687"/>
      <c r="C194" s="336"/>
      <c r="D194" s="334" t="str">
        <f>D48</f>
        <v>сутки</v>
      </c>
      <c r="E194" s="270">
        <f>D190</f>
        <v>0.26300000000000001</v>
      </c>
      <c r="F194" s="344">
        <f>F48</f>
        <v>13500</v>
      </c>
      <c r="G194" s="91">
        <f>E194*F194</f>
        <v>3550.5</v>
      </c>
      <c r="H194" s="7"/>
      <c r="I194" s="7"/>
      <c r="J194" s="7"/>
    </row>
    <row r="195" spans="1:10" ht="15.75" x14ac:dyDescent="0.25">
      <c r="A195" s="686" t="str">
        <f>A49</f>
        <v>Проезд</v>
      </c>
      <c r="B195" s="687"/>
      <c r="C195" s="336"/>
      <c r="D195" s="334" t="str">
        <f>D49</f>
        <v xml:space="preserve">Ед. </v>
      </c>
      <c r="E195" s="270">
        <f>D190</f>
        <v>0.26300000000000001</v>
      </c>
      <c r="F195" s="344">
        <f>F49</f>
        <v>60000</v>
      </c>
      <c r="G195" s="91">
        <f t="shared" ref="G195:G197" si="11">E195*F195</f>
        <v>15780</v>
      </c>
      <c r="H195" s="7"/>
      <c r="I195" s="7"/>
      <c r="J195" s="7"/>
    </row>
    <row r="196" spans="1:10" ht="15.75" x14ac:dyDescent="0.25">
      <c r="A196" s="686" t="str">
        <f>A50</f>
        <v>Проживание (гостиница)</v>
      </c>
      <c r="B196" s="687"/>
      <c r="C196" s="336"/>
      <c r="D196" s="334" t="str">
        <f>D50</f>
        <v>сутки</v>
      </c>
      <c r="E196" s="270">
        <f>D190</f>
        <v>0.26300000000000001</v>
      </c>
      <c r="F196" s="344">
        <f>F50</f>
        <v>7499.98</v>
      </c>
      <c r="G196" s="91">
        <f t="shared" si="11"/>
        <v>1972.4947399999999</v>
      </c>
      <c r="H196" s="7"/>
      <c r="I196" s="7"/>
      <c r="J196" s="7"/>
    </row>
    <row r="197" spans="1:10" ht="15.75" x14ac:dyDescent="0.25">
      <c r="A197" s="335" t="str">
        <f>A51</f>
        <v>Проживание (квартирные)</v>
      </c>
      <c r="B197" s="336"/>
      <c r="C197" s="336"/>
      <c r="D197" s="334" t="str">
        <f>D51</f>
        <v>сутки</v>
      </c>
      <c r="E197" s="270">
        <f>D190</f>
        <v>0.26300000000000001</v>
      </c>
      <c r="F197" s="344">
        <f>F51</f>
        <v>3375</v>
      </c>
      <c r="G197" s="91">
        <f t="shared" si="11"/>
        <v>887.625</v>
      </c>
      <c r="H197" s="7"/>
      <c r="I197" s="7"/>
      <c r="J197" s="7"/>
    </row>
    <row r="198" spans="1:10" ht="18.75" x14ac:dyDescent="0.25">
      <c r="A198" s="700" t="s">
        <v>62</v>
      </c>
      <c r="B198" s="701"/>
      <c r="C198" s="341"/>
      <c r="D198" s="334"/>
      <c r="E198" s="87"/>
      <c r="F198" s="87"/>
      <c r="G198" s="411">
        <f>SUM(G194:G197)+0.25</f>
        <v>22190.869739999998</v>
      </c>
      <c r="H198" s="7"/>
      <c r="I198" s="7"/>
      <c r="J198" s="7"/>
    </row>
    <row r="199" spans="1:10" ht="15.75" x14ac:dyDescent="0.25">
      <c r="A199" s="695" t="s">
        <v>36</v>
      </c>
      <c r="B199" s="695"/>
      <c r="C199" s="695"/>
      <c r="D199" s="695"/>
      <c r="E199" s="695"/>
      <c r="F199" s="695"/>
      <c r="G199" s="204"/>
      <c r="H199" s="7"/>
      <c r="I199" s="7"/>
      <c r="J199" s="7"/>
    </row>
    <row r="200" spans="1:10" ht="15.75" x14ac:dyDescent="0.25">
      <c r="A200" s="7"/>
      <c r="B200" s="7"/>
      <c r="C200" s="7"/>
      <c r="D200" s="177">
        <f>D190</f>
        <v>0.26300000000000001</v>
      </c>
      <c r="E200" s="7"/>
      <c r="F200" s="7"/>
      <c r="G200" s="179"/>
      <c r="H200" s="7"/>
      <c r="I200" s="7"/>
      <c r="J200" s="7"/>
    </row>
    <row r="201" spans="1:10" ht="30" customHeight="1" x14ac:dyDescent="0.25">
      <c r="A201" s="683" t="s">
        <v>24</v>
      </c>
      <c r="B201" s="683" t="s">
        <v>11</v>
      </c>
      <c r="C201" s="334"/>
      <c r="D201" s="683" t="s">
        <v>51</v>
      </c>
      <c r="E201" s="683" t="s">
        <v>99</v>
      </c>
      <c r="F201" s="696" t="s">
        <v>192</v>
      </c>
      <c r="G201" s="737" t="s">
        <v>6</v>
      </c>
      <c r="H201" s="7"/>
      <c r="I201" s="7"/>
      <c r="J201" s="7"/>
    </row>
    <row r="202" spans="1:10" ht="15.75" customHeight="1" x14ac:dyDescent="0.25">
      <c r="A202" s="683"/>
      <c r="B202" s="683"/>
      <c r="C202" s="334"/>
      <c r="D202" s="683"/>
      <c r="E202" s="683"/>
      <c r="F202" s="697"/>
      <c r="G202" s="738"/>
      <c r="H202" s="7"/>
      <c r="I202" s="7"/>
      <c r="J202" s="7"/>
    </row>
    <row r="203" spans="1:10" ht="15.75" x14ac:dyDescent="0.25">
      <c r="A203" s="334">
        <v>1</v>
      </c>
      <c r="B203" s="334">
        <v>2</v>
      </c>
      <c r="C203" s="334"/>
      <c r="D203" s="334">
        <v>3</v>
      </c>
      <c r="E203" s="334">
        <v>4</v>
      </c>
      <c r="F203" s="334">
        <v>5</v>
      </c>
      <c r="G203" s="86" t="s">
        <v>74</v>
      </c>
      <c r="H203" s="7"/>
      <c r="I203" s="7"/>
      <c r="J203" s="7"/>
    </row>
    <row r="204" spans="1:10" ht="21.75" customHeight="1" x14ac:dyDescent="0.25">
      <c r="A204" s="55" t="str">
        <f>'инновации+добровольчество'!A148</f>
        <v>Договор ВЗ (связь по краю)</v>
      </c>
      <c r="B204" s="321" t="s">
        <v>22</v>
      </c>
      <c r="C204" s="334"/>
      <c r="D204" s="334">
        <f>1*D200</f>
        <v>0.26300000000000001</v>
      </c>
      <c r="E204" s="327">
        <f>'инновации+добровольчество'!E148</f>
        <v>250</v>
      </c>
      <c r="F204" s="321">
        <v>12</v>
      </c>
      <c r="G204" s="86">
        <f>D204*E204*F204</f>
        <v>789</v>
      </c>
      <c r="H204" s="7"/>
      <c r="I204" s="7"/>
      <c r="J204" s="7"/>
    </row>
    <row r="205" spans="1:10" ht="15.75" x14ac:dyDescent="0.25">
      <c r="A205" s="55" t="str">
        <f>'инновации+добровольчество'!A149</f>
        <v>Абоненская плата за услуги связи, номеров</v>
      </c>
      <c r="B205" s="321" t="s">
        <v>22</v>
      </c>
      <c r="C205" s="334"/>
      <c r="D205" s="334">
        <f>1*D200</f>
        <v>0.26300000000000001</v>
      </c>
      <c r="E205" s="327">
        <f>'инновации+добровольчество'!E149</f>
        <v>2250</v>
      </c>
      <c r="F205" s="321">
        <v>12</v>
      </c>
      <c r="G205" s="86">
        <f t="shared" ref="G205:G209" si="12">D205*E205*F205</f>
        <v>7101</v>
      </c>
      <c r="H205" s="7"/>
      <c r="I205" s="7"/>
      <c r="J205" s="7"/>
    </row>
    <row r="206" spans="1:10" ht="15.75" hidden="1" x14ac:dyDescent="0.25">
      <c r="A206" s="55" t="str">
        <f>'инновации+добровольчество'!A150</f>
        <v>Абоненская плата за услуги Интернет кайтнет</v>
      </c>
      <c r="B206" s="321" t="s">
        <v>22</v>
      </c>
      <c r="C206" s="334"/>
      <c r="D206" s="334">
        <f>1*D200</f>
        <v>0.26300000000000001</v>
      </c>
      <c r="E206" s="327">
        <f>'инновации+добровольчество'!E150</f>
        <v>0</v>
      </c>
      <c r="F206" s="321">
        <v>12</v>
      </c>
      <c r="G206" s="86">
        <f t="shared" si="12"/>
        <v>0</v>
      </c>
      <c r="H206" s="7"/>
      <c r="I206" s="7"/>
      <c r="J206" s="7"/>
    </row>
    <row r="207" spans="1:10" ht="15.75" hidden="1" x14ac:dyDescent="0.25">
      <c r="A207" s="55" t="str">
        <f>'инновации+добровольчество'!A151</f>
        <v>Абоненская плата за услуги Интернет ИП Крамаренко:</v>
      </c>
      <c r="B207" s="321" t="s">
        <v>22</v>
      </c>
      <c r="C207" s="334"/>
      <c r="D207" s="334">
        <f>D200</f>
        <v>0.26300000000000001</v>
      </c>
      <c r="E207" s="327">
        <f>'инновации+добровольчество'!E151</f>
        <v>0</v>
      </c>
      <c r="F207" s="321"/>
      <c r="G207" s="86">
        <f t="shared" si="12"/>
        <v>0</v>
      </c>
      <c r="H207" s="7"/>
      <c r="I207" s="7"/>
      <c r="J207" s="7"/>
    </row>
    <row r="208" spans="1:10" ht="15.75" x14ac:dyDescent="0.25">
      <c r="A208" s="55" t="str">
        <f>'инновации+добровольчество'!A152</f>
        <v>Тариф Бизнес начальный</v>
      </c>
      <c r="B208" s="321" t="s">
        <v>91</v>
      </c>
      <c r="C208" s="334"/>
      <c r="D208" s="334">
        <f>1*D204</f>
        <v>0.26300000000000001</v>
      </c>
      <c r="E208" s="327">
        <f>'инновации+добровольчество'!E152</f>
        <v>6500</v>
      </c>
      <c r="F208" s="321">
        <v>8</v>
      </c>
      <c r="G208" s="86">
        <f t="shared" si="12"/>
        <v>13676</v>
      </c>
      <c r="H208" s="7"/>
      <c r="I208" s="7"/>
      <c r="J208" s="7"/>
    </row>
    <row r="209" spans="1:10" ht="15.75" x14ac:dyDescent="0.25">
      <c r="A209" s="55" t="str">
        <f>'инновации+добровольчество'!A153</f>
        <v>Тариф Бизнес</v>
      </c>
      <c r="B209" s="321" t="s">
        <v>91</v>
      </c>
      <c r="C209" s="334"/>
      <c r="D209" s="334">
        <f>1*D204</f>
        <v>0.26300000000000001</v>
      </c>
      <c r="E209" s="327">
        <f>'инновации+добровольчество'!E153</f>
        <v>11500</v>
      </c>
      <c r="F209" s="321">
        <v>4</v>
      </c>
      <c r="G209" s="86">
        <f t="shared" si="12"/>
        <v>12098</v>
      </c>
      <c r="H209" s="7"/>
      <c r="I209" s="7"/>
      <c r="J209" s="7"/>
    </row>
    <row r="210" spans="1:10" ht="15.75" x14ac:dyDescent="0.25">
      <c r="A210" s="55" t="str">
        <f>'инновации+добровольчество'!A154</f>
        <v>Почтовые услуги</v>
      </c>
      <c r="B210" s="321" t="s">
        <v>91</v>
      </c>
      <c r="C210" s="334"/>
      <c r="D210" s="334">
        <f>1*D204</f>
        <v>0.26300000000000001</v>
      </c>
      <c r="E210" s="327">
        <f>'инновации+добровольчество'!E154</f>
        <v>167.6</v>
      </c>
      <c r="F210" s="321">
        <v>12</v>
      </c>
      <c r="G210" s="86">
        <f>D210*E210*F210-0.03</f>
        <v>528.91560000000004</v>
      </c>
      <c r="H210" s="7"/>
      <c r="I210" s="7"/>
      <c r="J210" s="7"/>
    </row>
    <row r="211" spans="1:10" ht="18.75" x14ac:dyDescent="0.3">
      <c r="A211" s="740" t="s">
        <v>26</v>
      </c>
      <c r="B211" s="743"/>
      <c r="C211" s="743"/>
      <c r="D211" s="743"/>
      <c r="E211" s="743"/>
      <c r="F211" s="741"/>
      <c r="G211" s="421">
        <f>SUM(G204:G210)</f>
        <v>34192.9156</v>
      </c>
      <c r="H211" s="7"/>
      <c r="I211" s="7"/>
      <c r="J211" s="7"/>
    </row>
    <row r="212" spans="1:10" ht="15.75" x14ac:dyDescent="0.25">
      <c r="A212" s="695" t="s">
        <v>59</v>
      </c>
      <c r="B212" s="695"/>
      <c r="C212" s="695"/>
      <c r="D212" s="695"/>
      <c r="E212" s="695"/>
      <c r="F212" s="695"/>
      <c r="G212" s="179"/>
      <c r="H212" s="7"/>
      <c r="I212" s="7"/>
      <c r="J212" s="7"/>
    </row>
    <row r="213" spans="1:10" ht="15.75" x14ac:dyDescent="0.25">
      <c r="A213" s="7"/>
      <c r="B213" s="7"/>
      <c r="C213" s="7"/>
      <c r="D213" s="177">
        <f>D200</f>
        <v>0.26300000000000001</v>
      </c>
      <c r="E213" s="7"/>
      <c r="F213" s="7"/>
      <c r="G213" s="179"/>
      <c r="H213" s="7"/>
      <c r="I213" s="7"/>
      <c r="J213" s="7"/>
    </row>
    <row r="214" spans="1:10" ht="10.15" customHeight="1" x14ac:dyDescent="0.25">
      <c r="A214" s="683" t="s">
        <v>285</v>
      </c>
      <c r="B214" s="683" t="s">
        <v>11</v>
      </c>
      <c r="C214" s="334"/>
      <c r="D214" s="683" t="s">
        <v>51</v>
      </c>
      <c r="E214" s="683" t="s">
        <v>100</v>
      </c>
      <c r="F214" s="683" t="s">
        <v>25</v>
      </c>
      <c r="G214" s="737" t="s">
        <v>6</v>
      </c>
      <c r="H214" s="7"/>
      <c r="I214" s="7"/>
      <c r="J214" s="7"/>
    </row>
    <row r="215" spans="1:10" ht="4.1500000000000004" customHeight="1" x14ac:dyDescent="0.25">
      <c r="A215" s="683"/>
      <c r="B215" s="683"/>
      <c r="C215" s="334"/>
      <c r="D215" s="683"/>
      <c r="E215" s="683"/>
      <c r="F215" s="683"/>
      <c r="G215" s="738"/>
      <c r="H215" s="7"/>
      <c r="I215" s="7"/>
      <c r="J215" s="7"/>
    </row>
    <row r="216" spans="1:10" ht="15.75" x14ac:dyDescent="0.25">
      <c r="A216" s="334">
        <v>1</v>
      </c>
      <c r="B216" s="334">
        <v>2</v>
      </c>
      <c r="C216" s="334"/>
      <c r="D216" s="334">
        <v>3</v>
      </c>
      <c r="E216" s="334">
        <v>4</v>
      </c>
      <c r="F216" s="334">
        <v>5</v>
      </c>
      <c r="G216" s="86" t="s">
        <v>75</v>
      </c>
      <c r="H216" s="7"/>
      <c r="I216" s="7"/>
      <c r="J216" s="7"/>
    </row>
    <row r="217" spans="1:10" ht="15.75" x14ac:dyDescent="0.25">
      <c r="A217" s="78" t="str">
        <f>'инновации+добровольчество'!A161</f>
        <v>Проезд к месту учебы</v>
      </c>
      <c r="B217" s="334" t="s">
        <v>134</v>
      </c>
      <c r="C217" s="334"/>
      <c r="D217" s="334">
        <v>0.26300000000000001</v>
      </c>
      <c r="E217" s="334">
        <f>'инновации+добровольчество'!E161</f>
        <v>8151.4</v>
      </c>
      <c r="F217" s="334">
        <v>1</v>
      </c>
      <c r="G217" s="86">
        <f>D217*E217*F217</f>
        <v>2143.8182000000002</v>
      </c>
      <c r="H217" s="7"/>
      <c r="I217" s="7"/>
      <c r="J217" s="7"/>
    </row>
    <row r="218" spans="1:10" ht="15.75" x14ac:dyDescent="0.25">
      <c r="A218" s="75" t="s">
        <v>194</v>
      </c>
      <c r="B218" s="334" t="s">
        <v>22</v>
      </c>
      <c r="C218" s="334"/>
      <c r="D218" s="334">
        <f>1*D213</f>
        <v>0.26300000000000001</v>
      </c>
      <c r="E218" s="334">
        <f>'инновации+добровольчество'!E162</f>
        <v>10816</v>
      </c>
      <c r="F218" s="334">
        <v>1</v>
      </c>
      <c r="G218" s="86">
        <f>D218*E218*F218</f>
        <v>2844.6080000000002</v>
      </c>
      <c r="H218" s="7"/>
      <c r="I218" s="7"/>
      <c r="J218" s="7"/>
    </row>
    <row r="219" spans="1:10" ht="18.75" x14ac:dyDescent="0.25">
      <c r="A219" s="740" t="s">
        <v>60</v>
      </c>
      <c r="B219" s="743"/>
      <c r="C219" s="743"/>
      <c r="D219" s="743"/>
      <c r="E219" s="743"/>
      <c r="F219" s="741"/>
      <c r="G219" s="409">
        <f>SUM(G217:G218)</f>
        <v>4988.4261999999999</v>
      </c>
      <c r="H219" s="7"/>
      <c r="I219" s="7"/>
      <c r="J219" s="7"/>
    </row>
    <row r="220" spans="1:10" ht="15.75" x14ac:dyDescent="0.25">
      <c r="A220" s="744" t="s">
        <v>19</v>
      </c>
      <c r="B220" s="744"/>
      <c r="C220" s="744"/>
      <c r="D220" s="744"/>
      <c r="E220" s="744"/>
      <c r="F220" s="744"/>
      <c r="G220" s="179"/>
      <c r="H220" s="7"/>
      <c r="I220" s="7"/>
      <c r="J220" s="7"/>
    </row>
    <row r="221" spans="1:10" ht="15.75" x14ac:dyDescent="0.25">
      <c r="A221" s="7"/>
      <c r="B221" s="7"/>
      <c r="C221" s="7"/>
      <c r="D221" s="177">
        <f>D213</f>
        <v>0.26300000000000001</v>
      </c>
      <c r="E221" s="7"/>
      <c r="F221" s="7"/>
      <c r="G221" s="179"/>
      <c r="H221" s="7"/>
      <c r="I221" s="7"/>
      <c r="J221" s="7"/>
    </row>
    <row r="222" spans="1:10" ht="3.6" customHeight="1" x14ac:dyDescent="0.25">
      <c r="A222" s="683" t="s">
        <v>21</v>
      </c>
      <c r="B222" s="683" t="s">
        <v>11</v>
      </c>
      <c r="C222" s="334"/>
      <c r="D222" s="683" t="s">
        <v>14</v>
      </c>
      <c r="E222" s="683" t="s">
        <v>99</v>
      </c>
      <c r="F222" s="683" t="s">
        <v>6</v>
      </c>
      <c r="G222" s="179"/>
      <c r="H222" s="7"/>
      <c r="I222" s="7"/>
      <c r="J222" s="7"/>
    </row>
    <row r="223" spans="1:10" ht="24" customHeight="1" x14ac:dyDescent="0.25">
      <c r="A223" s="683"/>
      <c r="B223" s="683"/>
      <c r="C223" s="334"/>
      <c r="D223" s="683"/>
      <c r="E223" s="683"/>
      <c r="F223" s="683"/>
      <c r="G223" s="179"/>
      <c r="H223" s="7"/>
      <c r="I223" s="7"/>
      <c r="J223" s="7"/>
    </row>
    <row r="224" spans="1:10" ht="15.75" x14ac:dyDescent="0.25">
      <c r="A224" s="334">
        <v>1</v>
      </c>
      <c r="B224" s="334">
        <v>2</v>
      </c>
      <c r="C224" s="334"/>
      <c r="D224" s="334">
        <v>3</v>
      </c>
      <c r="E224" s="334">
        <v>7</v>
      </c>
      <c r="F224" s="334" t="s">
        <v>187</v>
      </c>
      <c r="G224" s="179"/>
      <c r="H224" s="7"/>
      <c r="I224" s="7"/>
      <c r="J224" s="7"/>
    </row>
    <row r="225" spans="1:10" ht="15.75" x14ac:dyDescent="0.25">
      <c r="A225" s="78" t="str">
        <f>'инновации+добровольчество'!A170</f>
        <v xml:space="preserve">Обслуживание систем пожарной сигнализации  </v>
      </c>
      <c r="B225" s="334" t="str">
        <f>'инновации+добровольчество'!B170</f>
        <v>договор</v>
      </c>
      <c r="C225" s="334"/>
      <c r="D225" s="334">
        <f>12*D221</f>
        <v>3.1560000000000001</v>
      </c>
      <c r="E225" s="334">
        <f>'инновации+добровольчество'!E170</f>
        <v>2000</v>
      </c>
      <c r="F225" s="334">
        <f>D225*E225</f>
        <v>6312</v>
      </c>
      <c r="G225" s="179"/>
      <c r="H225" s="7"/>
      <c r="I225" s="7"/>
      <c r="J225" s="7"/>
    </row>
    <row r="226" spans="1:10" ht="15.75" x14ac:dyDescent="0.25">
      <c r="A226" s="78" t="str">
        <f>'инновации+добровольчество'!A171</f>
        <v xml:space="preserve">Уборка территории от снега </v>
      </c>
      <c r="B226" s="334" t="str">
        <f>'инновации+добровольчество'!B171</f>
        <v>договор</v>
      </c>
      <c r="C226" s="334"/>
      <c r="D226" s="334">
        <f>2*D221</f>
        <v>0.52600000000000002</v>
      </c>
      <c r="E226" s="334">
        <f>'инновации+добровольчество'!E171</f>
        <v>20368.73</v>
      </c>
      <c r="F226" s="344">
        <f t="shared" ref="F226:F257" si="13">D226*E226</f>
        <v>10713.95198</v>
      </c>
      <c r="G226" s="179"/>
      <c r="H226" s="7"/>
      <c r="I226" s="7"/>
      <c r="J226" s="7"/>
    </row>
    <row r="227" spans="1:10" ht="15.75" x14ac:dyDescent="0.25">
      <c r="A227" s="78" t="str">
        <f>'инновации+добровольчество'!A172</f>
        <v>Профилактическая дезинфекция</v>
      </c>
      <c r="B227" s="334" t="str">
        <f>'инновации+добровольчество'!B172</f>
        <v>договор</v>
      </c>
      <c r="C227" s="334"/>
      <c r="D227" s="334">
        <f>D221</f>
        <v>0.26300000000000001</v>
      </c>
      <c r="E227" s="334">
        <f>'инновации+добровольчество'!E172</f>
        <v>12104.4</v>
      </c>
      <c r="F227" s="344">
        <f t="shared" si="13"/>
        <v>3183.4571999999998</v>
      </c>
      <c r="G227" s="179"/>
      <c r="H227" s="7"/>
      <c r="I227" s="7"/>
      <c r="J227" s="7"/>
    </row>
    <row r="228" spans="1:10" ht="31.5" x14ac:dyDescent="0.25">
      <c r="A228" s="78" t="str">
        <f>'инновации+добровольчество'!A173</f>
        <v>Комплексное обслуживание системы тепловодоснабжения и конструктивных элементов здания</v>
      </c>
      <c r="B228" s="334" t="str">
        <f>'инновации+добровольчество'!B173</f>
        <v>договор</v>
      </c>
      <c r="C228" s="334"/>
      <c r="D228" s="334">
        <f>D221</f>
        <v>0.26300000000000001</v>
      </c>
      <c r="E228" s="334">
        <f>'инновации+добровольчество'!E173</f>
        <v>30000</v>
      </c>
      <c r="F228" s="344">
        <f t="shared" si="13"/>
        <v>7890</v>
      </c>
      <c r="G228" s="179"/>
      <c r="H228" s="7"/>
      <c r="I228" s="7"/>
      <c r="J228" s="7"/>
    </row>
    <row r="229" spans="1:10" ht="15.75" x14ac:dyDescent="0.25">
      <c r="A229" s="78" t="str">
        <f>'инновации+добровольчество'!A174</f>
        <v>Договор осмотр технического состояния автомобиля</v>
      </c>
      <c r="B229" s="334" t="str">
        <f>'инновации+добровольчество'!B174</f>
        <v>договор</v>
      </c>
      <c r="C229" s="334"/>
      <c r="D229" s="334">
        <f>D221*85</f>
        <v>22.355</v>
      </c>
      <c r="E229" s="334">
        <f>'инновации+добровольчество'!E174</f>
        <v>175.75</v>
      </c>
      <c r="F229" s="344">
        <f t="shared" si="13"/>
        <v>3928.8912500000001</v>
      </c>
      <c r="G229" s="179"/>
      <c r="H229" s="7"/>
      <c r="I229" s="7"/>
      <c r="J229" s="7"/>
    </row>
    <row r="230" spans="1:10" ht="15.75" x14ac:dyDescent="0.25">
      <c r="A230" s="78" t="str">
        <f>'инновации+добровольчество'!A175</f>
        <v>Разбор и сбор моста</v>
      </c>
      <c r="B230" s="334" t="str">
        <f>'инновации+добровольчество'!B175</f>
        <v>договор</v>
      </c>
      <c r="C230" s="334"/>
      <c r="D230" s="334">
        <f>D221</f>
        <v>0.26300000000000001</v>
      </c>
      <c r="E230" s="334">
        <f>'инновации+добровольчество'!E175</f>
        <v>9600</v>
      </c>
      <c r="F230" s="344">
        <f t="shared" si="13"/>
        <v>2524.8000000000002</v>
      </c>
      <c r="G230" s="179"/>
      <c r="H230" s="7"/>
      <c r="I230" s="7"/>
      <c r="J230" s="7"/>
    </row>
    <row r="231" spans="1:10" ht="15.75" x14ac:dyDescent="0.25">
      <c r="A231" s="78" t="str">
        <f>'инновации+добровольчество'!A176</f>
        <v>Правка передней оси под прессом</v>
      </c>
      <c r="B231" s="334" t="str">
        <f>'инновации+добровольчество'!B195</f>
        <v>договор</v>
      </c>
      <c r="C231" s="334"/>
      <c r="D231" s="334">
        <f>D221</f>
        <v>0.26300000000000001</v>
      </c>
      <c r="E231" s="334">
        <f>'инновации+добровольчество'!E176</f>
        <v>16000</v>
      </c>
      <c r="F231" s="344">
        <f t="shared" si="13"/>
        <v>4208</v>
      </c>
      <c r="G231" s="179"/>
      <c r="H231" s="7"/>
      <c r="I231" s="7"/>
      <c r="J231" s="7"/>
    </row>
    <row r="232" spans="1:10" ht="15.75" x14ac:dyDescent="0.25">
      <c r="A232" s="78" t="str">
        <f>'инновации+добровольчество'!A177</f>
        <v>Ремонт шкворня</v>
      </c>
      <c r="B232" s="334" t="str">
        <f>'инновации+добровольчество'!B196</f>
        <v>договор</v>
      </c>
      <c r="C232" s="334"/>
      <c r="D232" s="334">
        <f>D221*2</f>
        <v>0.52600000000000002</v>
      </c>
      <c r="E232" s="334">
        <f>'инновации+добровольчество'!E177</f>
        <v>2100</v>
      </c>
      <c r="F232" s="344">
        <f t="shared" si="13"/>
        <v>1104.6000000000001</v>
      </c>
      <c r="G232" s="179"/>
      <c r="H232" s="7"/>
      <c r="I232" s="7"/>
      <c r="J232" s="7"/>
    </row>
    <row r="233" spans="1:10" ht="15.75" x14ac:dyDescent="0.25">
      <c r="A233" s="78" t="str">
        <f>'инновации+добровольчество'!A178</f>
        <v>Ремонт поворотной цапфы</v>
      </c>
      <c r="B233" s="334" t="str">
        <f>'инновации+добровольчество'!B197</f>
        <v>договор</v>
      </c>
      <c r="C233" s="334"/>
      <c r="D233" s="334">
        <f>D232</f>
        <v>0.52600000000000002</v>
      </c>
      <c r="E233" s="334">
        <f>'инновации+добровольчество'!E178</f>
        <v>1900</v>
      </c>
      <c r="F233" s="344">
        <f t="shared" si="13"/>
        <v>999.40000000000009</v>
      </c>
      <c r="G233" s="179"/>
      <c r="H233" s="7"/>
      <c r="I233" s="7"/>
      <c r="J233" s="7"/>
    </row>
    <row r="234" spans="1:10" ht="15.75" x14ac:dyDescent="0.25">
      <c r="A234" s="78" t="str">
        <f>'инновации+добровольчество'!A179</f>
        <v>Восстановление площадки под крепление рессор</v>
      </c>
      <c r="B234" s="334" t="str">
        <f>'инновации+добровольчество'!B198</f>
        <v>договор</v>
      </c>
      <c r="C234" s="334"/>
      <c r="D234" s="334">
        <f>D233</f>
        <v>0.52600000000000002</v>
      </c>
      <c r="E234" s="334">
        <f>'инновации+добровольчество'!E179</f>
        <v>3100</v>
      </c>
      <c r="F234" s="344">
        <f t="shared" si="13"/>
        <v>1630.6000000000001</v>
      </c>
      <c r="G234" s="179"/>
      <c r="H234" s="7"/>
      <c r="I234" s="7"/>
      <c r="J234" s="7"/>
    </row>
    <row r="235" spans="1:10" ht="15.75" x14ac:dyDescent="0.25">
      <c r="A235" s="78" t="str">
        <f>'инновации+добровольчество'!A180</f>
        <v>Обработка абразивным кругом</v>
      </c>
      <c r="B235" s="334" t="str">
        <f>'инновации+добровольчество'!B199</f>
        <v>договор</v>
      </c>
      <c r="C235" s="334"/>
      <c r="D235" s="334">
        <f>D233</f>
        <v>0.52600000000000002</v>
      </c>
      <c r="E235" s="334">
        <f>'инновации+добровольчество'!E180</f>
        <v>1950</v>
      </c>
      <c r="F235" s="344">
        <f t="shared" si="13"/>
        <v>1025.7</v>
      </c>
      <c r="G235" s="179"/>
      <c r="H235" s="7"/>
      <c r="I235" s="7"/>
      <c r="J235" s="7"/>
    </row>
    <row r="236" spans="1:10" ht="15.75" x14ac:dyDescent="0.25">
      <c r="A236" s="78" t="str">
        <f>'инновации+добровольчество'!A181</f>
        <v>Ремонт шестерней редуктора</v>
      </c>
      <c r="B236" s="334" t="str">
        <f>'инновации+добровольчество'!B200</f>
        <v>договор</v>
      </c>
      <c r="C236" s="334"/>
      <c r="D236" s="334">
        <f>D221</f>
        <v>0.26300000000000001</v>
      </c>
      <c r="E236" s="334">
        <f>'инновации+добровольчество'!E181</f>
        <v>7850</v>
      </c>
      <c r="F236" s="344">
        <f t="shared" si="13"/>
        <v>2064.5500000000002</v>
      </c>
      <c r="G236" s="179"/>
      <c r="H236" s="7"/>
      <c r="I236" s="7"/>
      <c r="J236" s="7"/>
    </row>
    <row r="237" spans="1:10" ht="15.75" x14ac:dyDescent="0.25">
      <c r="A237" s="78" t="str">
        <f>'инновации+добровольчество'!A182</f>
        <v>Ремонт главной пары передний и задний мост</v>
      </c>
      <c r="B237" s="334" t="str">
        <f>'инновации+добровольчество'!$B201</f>
        <v>договор</v>
      </c>
      <c r="C237" s="334"/>
      <c r="D237" s="334">
        <f>$D$221</f>
        <v>0.26300000000000001</v>
      </c>
      <c r="E237" s="334">
        <f>'инновации+добровольчество'!E182</f>
        <v>22650</v>
      </c>
      <c r="F237" s="344">
        <f t="shared" si="13"/>
        <v>5956.95</v>
      </c>
      <c r="G237" s="179"/>
      <c r="H237" s="7"/>
      <c r="I237" s="7"/>
      <c r="J237" s="7"/>
    </row>
    <row r="238" spans="1:10" ht="15.75" x14ac:dyDescent="0.25">
      <c r="A238" s="78" t="str">
        <f>'инновации+добровольчество'!A183</f>
        <v>Покраска переднего бампера</v>
      </c>
      <c r="B238" s="334" t="str">
        <f>'инновации+добровольчество'!$B202</f>
        <v>договор</v>
      </c>
      <c r="C238" s="334"/>
      <c r="D238" s="334">
        <f t="shared" ref="D238:D257" si="14">$D$221</f>
        <v>0.26300000000000001</v>
      </c>
      <c r="E238" s="334">
        <f>'инновации+добровольчество'!E183</f>
        <v>6900</v>
      </c>
      <c r="F238" s="344">
        <f t="shared" si="13"/>
        <v>1814.7</v>
      </c>
      <c r="G238" s="179"/>
      <c r="H238" s="7"/>
      <c r="I238" s="7"/>
      <c r="J238" s="7"/>
    </row>
    <row r="239" spans="1:10" ht="15.75" x14ac:dyDescent="0.25">
      <c r="A239" s="78" t="str">
        <f>'инновации+добровольчество'!A184</f>
        <v>Покраска капота</v>
      </c>
      <c r="B239" s="334" t="str">
        <f>B238</f>
        <v>договор</v>
      </c>
      <c r="C239" s="334"/>
      <c r="D239" s="334">
        <f t="shared" si="14"/>
        <v>0.26300000000000001</v>
      </c>
      <c r="E239" s="334">
        <f>'инновации+добровольчество'!E184</f>
        <v>7400</v>
      </c>
      <c r="F239" s="344">
        <f t="shared" si="13"/>
        <v>1946.2</v>
      </c>
      <c r="G239" s="179"/>
      <c r="H239" s="7"/>
      <c r="I239" s="7"/>
      <c r="J239" s="7"/>
    </row>
    <row r="240" spans="1:10" ht="15.75" x14ac:dyDescent="0.25">
      <c r="A240" s="78" t="str">
        <f>'инновации+добровольчество'!A185</f>
        <v>Покраска переднего левого крыла</v>
      </c>
      <c r="B240" s="334" t="str">
        <f>B238</f>
        <v>договор</v>
      </c>
      <c r="C240" s="334"/>
      <c r="D240" s="334">
        <f t="shared" si="14"/>
        <v>0.26300000000000001</v>
      </c>
      <c r="E240" s="334">
        <f>'инновации+добровольчество'!E185</f>
        <v>8500</v>
      </c>
      <c r="F240" s="344">
        <f t="shared" si="13"/>
        <v>2235.5</v>
      </c>
      <c r="G240" s="179"/>
      <c r="H240" s="7"/>
      <c r="I240" s="7"/>
      <c r="J240" s="7"/>
    </row>
    <row r="241" spans="1:10" ht="15.75" x14ac:dyDescent="0.25">
      <c r="A241" s="78" t="str">
        <f>'инновации+добровольчество'!A186</f>
        <v>Покраска переднего правого крыла</v>
      </c>
      <c r="B241" s="334" t="str">
        <f>B238</f>
        <v>договор</v>
      </c>
      <c r="C241" s="334"/>
      <c r="D241" s="334">
        <f t="shared" si="14"/>
        <v>0.26300000000000001</v>
      </c>
      <c r="E241" s="334">
        <f>'инновации+добровольчество'!E186</f>
        <v>8500</v>
      </c>
      <c r="F241" s="344">
        <f t="shared" si="13"/>
        <v>2235.5</v>
      </c>
      <c r="G241" s="179"/>
      <c r="H241" s="7"/>
      <c r="I241" s="7"/>
      <c r="J241" s="7"/>
    </row>
    <row r="242" spans="1:10" ht="15.75" x14ac:dyDescent="0.25">
      <c r="A242" s="78" t="str">
        <f>'инновации+добровольчество'!A187</f>
        <v>Покраска передней левой двери</v>
      </c>
      <c r="B242" s="334" t="str">
        <f>B238</f>
        <v>договор</v>
      </c>
      <c r="C242" s="334"/>
      <c r="D242" s="334">
        <f t="shared" si="14"/>
        <v>0.26300000000000001</v>
      </c>
      <c r="E242" s="334">
        <f>'инновации+добровольчество'!E187</f>
        <v>4000</v>
      </c>
      <c r="F242" s="344">
        <f t="shared" si="13"/>
        <v>1052</v>
      </c>
      <c r="G242" s="179"/>
      <c r="H242" s="7"/>
      <c r="I242" s="7"/>
      <c r="J242" s="7"/>
    </row>
    <row r="243" spans="1:10" ht="15.75" x14ac:dyDescent="0.25">
      <c r="A243" s="78" t="str">
        <f>'инновации+добровольчество'!A188</f>
        <v>Покраска двери передней правой</v>
      </c>
      <c r="B243" s="334" t="str">
        <f>B238</f>
        <v>договор</v>
      </c>
      <c r="C243" s="334"/>
      <c r="D243" s="334">
        <f t="shared" si="14"/>
        <v>0.26300000000000001</v>
      </c>
      <c r="E243" s="334">
        <f>'инновации+добровольчество'!E188</f>
        <v>4000</v>
      </c>
      <c r="F243" s="344">
        <f t="shared" si="13"/>
        <v>1052</v>
      </c>
      <c r="G243" s="179"/>
      <c r="H243" s="7"/>
      <c r="I243" s="7"/>
      <c r="J243" s="7"/>
    </row>
    <row r="244" spans="1:10" ht="15.75" x14ac:dyDescent="0.25">
      <c r="A244" s="78" t="str">
        <f>'инновации+добровольчество'!A189</f>
        <v>Покраска стойки правой</v>
      </c>
      <c r="B244" s="334" t="str">
        <f>B238</f>
        <v>договор</v>
      </c>
      <c r="C244" s="334"/>
      <c r="D244" s="334">
        <f t="shared" si="14"/>
        <v>0.26300000000000001</v>
      </c>
      <c r="E244" s="334">
        <f>'инновации+добровольчество'!E189</f>
        <v>3000</v>
      </c>
      <c r="F244" s="344">
        <f t="shared" si="13"/>
        <v>789</v>
      </c>
      <c r="G244" s="179"/>
      <c r="H244" s="7"/>
      <c r="I244" s="7"/>
      <c r="J244" s="7"/>
    </row>
    <row r="245" spans="1:10" ht="15.75" x14ac:dyDescent="0.25">
      <c r="A245" s="78" t="str">
        <f>'инновации+добровольчество'!A190</f>
        <v>Ремонт заднего бампера</v>
      </c>
      <c r="B245" s="334" t="str">
        <f>'инновации+добровольчество'!$B209</f>
        <v>договор</v>
      </c>
      <c r="C245" s="334"/>
      <c r="D245" s="334">
        <f t="shared" si="14"/>
        <v>0.26300000000000001</v>
      </c>
      <c r="E245" s="334">
        <f>'инновации+добровольчество'!E190</f>
        <v>9500</v>
      </c>
      <c r="F245" s="344">
        <f t="shared" si="13"/>
        <v>2498.5</v>
      </c>
      <c r="G245" s="179"/>
      <c r="H245" s="7"/>
      <c r="I245" s="7"/>
      <c r="J245" s="7"/>
    </row>
    <row r="246" spans="1:10" ht="15.75" x14ac:dyDescent="0.25">
      <c r="A246" s="78" t="str">
        <f>'инновации+добровольчество'!A191</f>
        <v>Покраска заднего бампера</v>
      </c>
      <c r="B246" s="334" t="str">
        <f>'инновации+добровольчество'!$B211</f>
        <v>договор</v>
      </c>
      <c r="C246" s="334"/>
      <c r="D246" s="334">
        <f t="shared" si="14"/>
        <v>0.26300000000000001</v>
      </c>
      <c r="E246" s="334">
        <f>'инновации+добровольчество'!E191</f>
        <v>9000</v>
      </c>
      <c r="F246" s="344">
        <f t="shared" si="13"/>
        <v>2367</v>
      </c>
      <c r="G246" s="179"/>
      <c r="H246" s="7"/>
      <c r="I246" s="7"/>
      <c r="J246" s="7"/>
    </row>
    <row r="247" spans="1:10" ht="15.75" x14ac:dyDescent="0.25">
      <c r="A247" s="78" t="str">
        <f>'инновации+добровольчество'!A192</f>
        <v>Полировка кузова</v>
      </c>
      <c r="B247" s="334" t="str">
        <f>'инновации+добровольчество'!$B213</f>
        <v>договор</v>
      </c>
      <c r="C247" s="334"/>
      <c r="D247" s="334">
        <f t="shared" si="14"/>
        <v>0.26300000000000001</v>
      </c>
      <c r="E247" s="334">
        <f>'инновации+добровольчество'!E192</f>
        <v>9600</v>
      </c>
      <c r="F247" s="344">
        <f t="shared" si="13"/>
        <v>2524.8000000000002</v>
      </c>
      <c r="G247" s="179"/>
      <c r="H247" s="7"/>
      <c r="I247" s="7"/>
      <c r="J247" s="7"/>
    </row>
    <row r="248" spans="1:10" ht="15.75" x14ac:dyDescent="0.25">
      <c r="A248" s="78" t="str">
        <f>'инновации+добровольчество'!A193</f>
        <v>Покраска крышки багажника</v>
      </c>
      <c r="B248" s="334" t="str">
        <f>'инновации+добровольчество'!$B214</f>
        <v>договор</v>
      </c>
      <c r="C248" s="334"/>
      <c r="D248" s="334">
        <f t="shared" si="14"/>
        <v>0.26300000000000001</v>
      </c>
      <c r="E248" s="334">
        <f>'инновации+добровольчество'!E193</f>
        <v>9500</v>
      </c>
      <c r="F248" s="344">
        <f t="shared" si="13"/>
        <v>2498.5</v>
      </c>
      <c r="G248" s="179"/>
      <c r="H248" s="7"/>
      <c r="I248" s="7"/>
      <c r="J248" s="7"/>
    </row>
    <row r="249" spans="1:10" ht="15.75" x14ac:dyDescent="0.25">
      <c r="A249" s="78" t="str">
        <f>'инновации+добровольчество'!A194</f>
        <v>Полировка стекол со снятием</v>
      </c>
      <c r="B249" s="334" t="str">
        <f>'инновации+добровольчество'!$B215</f>
        <v>договор</v>
      </c>
      <c r="C249" s="334"/>
      <c r="D249" s="334">
        <f t="shared" si="14"/>
        <v>0.26300000000000001</v>
      </c>
      <c r="E249" s="334">
        <f>'инновации+добровольчество'!E194</f>
        <v>5000</v>
      </c>
      <c r="F249" s="344">
        <f t="shared" si="13"/>
        <v>1315</v>
      </c>
      <c r="G249" s="179"/>
      <c r="H249" s="7"/>
      <c r="I249" s="7"/>
      <c r="J249" s="7"/>
    </row>
    <row r="250" spans="1:10" ht="15.75" x14ac:dyDescent="0.25">
      <c r="A250" s="78" t="str">
        <f>'инновации+добровольчество'!A195</f>
        <v>Слесарные работы по восстановлению сидений</v>
      </c>
      <c r="B250" s="334" t="str">
        <f>'инновации+добровольчество'!$B216</f>
        <v>договор</v>
      </c>
      <c r="C250" s="334"/>
      <c r="D250" s="334">
        <f t="shared" si="14"/>
        <v>0.26300000000000001</v>
      </c>
      <c r="E250" s="334">
        <f>'инновации+добровольчество'!E195</f>
        <v>15000</v>
      </c>
      <c r="F250" s="344">
        <f t="shared" si="13"/>
        <v>3945</v>
      </c>
      <c r="G250" s="179"/>
      <c r="H250" s="7"/>
      <c r="I250" s="7"/>
      <c r="J250" s="7"/>
    </row>
    <row r="251" spans="1:10" ht="15.75" x14ac:dyDescent="0.25">
      <c r="A251" s="78" t="str">
        <f>'инновации+добровольчество'!A196</f>
        <v>Ремонт электрогитары</v>
      </c>
      <c r="B251" s="334" t="str">
        <f>'инновации+добровольчество'!$B217</f>
        <v>договор</v>
      </c>
      <c r="C251" s="334"/>
      <c r="D251" s="334">
        <f t="shared" si="14"/>
        <v>0.26300000000000001</v>
      </c>
      <c r="E251" s="334">
        <f>'инновации+добровольчество'!E196</f>
        <v>2000</v>
      </c>
      <c r="F251" s="344">
        <f t="shared" si="13"/>
        <v>526</v>
      </c>
      <c r="G251" s="179"/>
      <c r="H251" s="7"/>
      <c r="I251" s="7"/>
      <c r="J251" s="7"/>
    </row>
    <row r="252" spans="1:10" ht="15.75" x14ac:dyDescent="0.25">
      <c r="A252" s="78" t="str">
        <f>'инновации+добровольчество'!A197</f>
        <v>Ремонт акустической системы</v>
      </c>
      <c r="B252" s="334" t="str">
        <f>'инновации+добровольчество'!$B218</f>
        <v>договор</v>
      </c>
      <c r="C252" s="334"/>
      <c r="D252" s="334">
        <f t="shared" si="14"/>
        <v>0.26300000000000001</v>
      </c>
      <c r="E252" s="334">
        <f>'инновации+добровольчество'!E197</f>
        <v>2000</v>
      </c>
      <c r="F252" s="344">
        <f t="shared" si="13"/>
        <v>526</v>
      </c>
      <c r="G252" s="179"/>
      <c r="H252" s="7"/>
      <c r="I252" s="7"/>
      <c r="J252" s="7"/>
    </row>
    <row r="253" spans="1:10" ht="15.75" x14ac:dyDescent="0.25">
      <c r="A253" s="78" t="str">
        <f>'инновации+добровольчество'!A198</f>
        <v>Ремонт микшера (USB канал)</v>
      </c>
      <c r="B253" s="334" t="str">
        <f>'инновации+добровольчество'!$B219</f>
        <v>договор</v>
      </c>
      <c r="C253" s="334"/>
      <c r="D253" s="334">
        <f t="shared" si="14"/>
        <v>0.26300000000000001</v>
      </c>
      <c r="E253" s="334">
        <f>'инновации+добровольчество'!E198</f>
        <v>2000</v>
      </c>
      <c r="F253" s="344">
        <f t="shared" si="13"/>
        <v>526</v>
      </c>
      <c r="G253" s="179"/>
      <c r="H253" s="7"/>
      <c r="I253" s="7"/>
      <c r="J253" s="7"/>
    </row>
    <row r="254" spans="1:10" ht="15.75" x14ac:dyDescent="0.25">
      <c r="A254" s="78" t="str">
        <f>'инновации+добровольчество'!A199</f>
        <v>Ремонт комбо басовый</v>
      </c>
      <c r="B254" s="334" t="str">
        <f>'инновации+добровольчество'!$B220</f>
        <v>договор</v>
      </c>
      <c r="C254" s="334"/>
      <c r="D254" s="334">
        <f t="shared" si="14"/>
        <v>0.26300000000000001</v>
      </c>
      <c r="E254" s="334">
        <f>'инновации+добровольчество'!E199</f>
        <v>2000</v>
      </c>
      <c r="F254" s="344">
        <f t="shared" si="13"/>
        <v>526</v>
      </c>
      <c r="G254" s="179"/>
      <c r="H254" s="7"/>
      <c r="I254" s="7"/>
      <c r="J254" s="7"/>
    </row>
    <row r="255" spans="1:10" ht="15.75" x14ac:dyDescent="0.25">
      <c r="A255" s="78" t="str">
        <f>'инновации+добровольчество'!A200</f>
        <v>Ремонт Гитарного комбоусителя</v>
      </c>
      <c r="B255" s="334" t="str">
        <f>'инновации+добровольчество'!$B223</f>
        <v>договор</v>
      </c>
      <c r="C255" s="334"/>
      <c r="D255" s="334">
        <f t="shared" si="14"/>
        <v>0.26300000000000001</v>
      </c>
      <c r="E255" s="334">
        <f>'инновации+добровольчество'!E200</f>
        <v>2000</v>
      </c>
      <c r="F255" s="344">
        <f t="shared" si="13"/>
        <v>526</v>
      </c>
      <c r="G255" s="179"/>
      <c r="H255" s="7"/>
      <c r="I255" s="7"/>
      <c r="J255" s="7"/>
    </row>
    <row r="256" spans="1:10" ht="15.75" x14ac:dyDescent="0.25">
      <c r="A256" s="78" t="str">
        <f>'инновации+добровольчество'!A201</f>
        <v>Ремонт аккустической системы</v>
      </c>
      <c r="B256" s="334" t="str">
        <f>'инновации+добровольчество'!$B224</f>
        <v>договор</v>
      </c>
      <c r="C256" s="334"/>
      <c r="D256" s="334">
        <f t="shared" si="14"/>
        <v>0.26300000000000001</v>
      </c>
      <c r="E256" s="334">
        <f>'инновации+добровольчество'!E201</f>
        <v>2500</v>
      </c>
      <c r="F256" s="344">
        <f t="shared" si="13"/>
        <v>657.5</v>
      </c>
      <c r="G256" s="179"/>
      <c r="H256" s="7"/>
      <c r="I256" s="7"/>
      <c r="J256" s="7"/>
    </row>
    <row r="257" spans="1:10" ht="15.75" x14ac:dyDescent="0.25">
      <c r="A257" s="78" t="str">
        <f>'инновации+добровольчество'!A202</f>
        <v>Ремонт микшера (сгоревшие каналы)</v>
      </c>
      <c r="B257" s="334" t="str">
        <f>'инновации+добровольчество'!$B225</f>
        <v>договор</v>
      </c>
      <c r="C257" s="334"/>
      <c r="D257" s="334">
        <f t="shared" si="14"/>
        <v>0.26300000000000001</v>
      </c>
      <c r="E257" s="334">
        <f>'инновации+добровольчество'!E202</f>
        <v>7500</v>
      </c>
      <c r="F257" s="344">
        <f t="shared" si="13"/>
        <v>1972.5</v>
      </c>
      <c r="G257" s="179"/>
      <c r="H257" s="7"/>
      <c r="I257" s="7"/>
      <c r="J257" s="7"/>
    </row>
    <row r="258" spans="1:10" ht="18.75" x14ac:dyDescent="0.25">
      <c r="A258" s="712" t="s">
        <v>23</v>
      </c>
      <c r="B258" s="713"/>
      <c r="C258" s="713"/>
      <c r="D258" s="713"/>
      <c r="E258" s="714"/>
      <c r="F258" s="431">
        <f>SUM(F225:F257)</f>
        <v>83076.600429999991</v>
      </c>
      <c r="G258" s="179"/>
      <c r="H258" s="7"/>
      <c r="I258" s="7"/>
      <c r="J258" s="7"/>
    </row>
    <row r="259" spans="1:10" ht="15.75" x14ac:dyDescent="0.25">
      <c r="A259" s="728" t="s">
        <v>29</v>
      </c>
      <c r="B259" s="729"/>
      <c r="C259" s="729"/>
      <c r="D259" s="729"/>
      <c r="E259" s="729"/>
      <c r="F259" s="730"/>
      <c r="G259" s="179"/>
      <c r="H259" s="7"/>
      <c r="I259" s="7"/>
      <c r="J259" s="7"/>
    </row>
    <row r="260" spans="1:10" ht="15.75" x14ac:dyDescent="0.25">
      <c r="A260" s="731">
        <f>D221</f>
        <v>0.26300000000000001</v>
      </c>
      <c r="B260" s="732"/>
      <c r="C260" s="732"/>
      <c r="D260" s="732"/>
      <c r="E260" s="732"/>
      <c r="F260" s="733"/>
      <c r="G260" s="179"/>
      <c r="H260" s="7"/>
      <c r="I260" s="7"/>
      <c r="J260" s="7"/>
    </row>
    <row r="261" spans="1:10" ht="15.75" x14ac:dyDescent="0.25">
      <c r="A261" s="576" t="s">
        <v>30</v>
      </c>
      <c r="B261" s="576" t="s">
        <v>11</v>
      </c>
      <c r="C261" s="321"/>
      <c r="D261" s="576" t="s">
        <v>14</v>
      </c>
      <c r="E261" s="576" t="s">
        <v>15</v>
      </c>
      <c r="F261" s="576" t="s">
        <v>6</v>
      </c>
      <c r="G261" s="179"/>
      <c r="H261" s="7"/>
      <c r="I261" s="7"/>
      <c r="J261" s="7"/>
    </row>
    <row r="262" spans="1:10" ht="3" customHeight="1" x14ac:dyDescent="0.25">
      <c r="A262" s="576"/>
      <c r="B262" s="576"/>
      <c r="C262" s="321"/>
      <c r="D262" s="576"/>
      <c r="E262" s="576"/>
      <c r="F262" s="576"/>
      <c r="G262" s="179"/>
      <c r="H262" s="7"/>
      <c r="I262" s="7"/>
      <c r="J262" s="7"/>
    </row>
    <row r="263" spans="1:10" ht="15.75" x14ac:dyDescent="0.25">
      <c r="A263" s="321">
        <v>1</v>
      </c>
      <c r="B263" s="321">
        <v>2</v>
      </c>
      <c r="C263" s="321"/>
      <c r="D263" s="321">
        <v>3</v>
      </c>
      <c r="E263" s="321">
        <v>7</v>
      </c>
      <c r="F263" s="321" t="s">
        <v>187</v>
      </c>
      <c r="G263" s="179"/>
      <c r="H263" s="7"/>
      <c r="I263" s="7"/>
      <c r="J263" s="7"/>
    </row>
    <row r="264" spans="1:10" ht="15.75" x14ac:dyDescent="0.25">
      <c r="A264" s="136" t="str">
        <f>патриотика!A225</f>
        <v>Обучение персонала и тепловые сети</v>
      </c>
      <c r="B264" s="334" t="s">
        <v>22</v>
      </c>
      <c r="C264" s="321"/>
      <c r="D264" s="277">
        <f>2*A260</f>
        <v>0.52600000000000002</v>
      </c>
      <c r="E264" s="251">
        <f>патриотика!E225</f>
        <v>17600</v>
      </c>
      <c r="F264" s="493">
        <f>D264*E264</f>
        <v>9257.6</v>
      </c>
      <c r="G264" s="179"/>
      <c r="H264" s="7"/>
      <c r="I264" s="7"/>
      <c r="J264" s="7"/>
    </row>
    <row r="265" spans="1:10" ht="15.75" x14ac:dyDescent="0.25">
      <c r="A265" s="136" t="str">
        <f>патриотика!A226</f>
        <v>обучение персонала</v>
      </c>
      <c r="B265" s="474" t="s">
        <v>22</v>
      </c>
      <c r="C265" s="458"/>
      <c r="D265" s="277">
        <f>A260</f>
        <v>0.26300000000000001</v>
      </c>
      <c r="E265" s="251">
        <f>патриотика!E226</f>
        <v>6800</v>
      </c>
      <c r="F265" s="493">
        <f>D265*E265</f>
        <v>1788.4</v>
      </c>
      <c r="G265" s="179"/>
      <c r="H265" s="7"/>
      <c r="I265" s="7"/>
      <c r="J265" s="7"/>
    </row>
    <row r="266" spans="1:10" ht="15.75" x14ac:dyDescent="0.25">
      <c r="A266" s="136" t="str">
        <f>патриотика!A227</f>
        <v>Услуги СЕМИС подписка</v>
      </c>
      <c r="B266" s="334" t="s">
        <v>22</v>
      </c>
      <c r="C266" s="321"/>
      <c r="D266" s="277">
        <f>A260</f>
        <v>0.26300000000000001</v>
      </c>
      <c r="E266" s="251">
        <f>патриотика!E227</f>
        <v>1617</v>
      </c>
      <c r="F266" s="493">
        <f t="shared" ref="F266:F334" si="15">D266*E266</f>
        <v>425.27100000000002</v>
      </c>
      <c r="G266" s="179"/>
      <c r="H266" s="7"/>
      <c r="I266" s="7"/>
      <c r="J266" s="7"/>
    </row>
    <row r="267" spans="1:10" ht="15.75" x14ac:dyDescent="0.25">
      <c r="A267" s="136" t="str">
        <f>патриотика!A228</f>
        <v>изготовление плакетки, печать дипломов, изготовление значков</v>
      </c>
      <c r="B267" s="474" t="s">
        <v>22</v>
      </c>
      <c r="C267" s="458"/>
      <c r="D267" s="277">
        <f>A260</f>
        <v>0.26300000000000001</v>
      </c>
      <c r="E267" s="251">
        <f>патриотика!E228</f>
        <v>19305</v>
      </c>
      <c r="F267" s="493">
        <f t="shared" ref="F267" si="16">D267*E267</f>
        <v>5077.2150000000001</v>
      </c>
      <c r="G267" s="179"/>
      <c r="H267" s="7"/>
      <c r="I267" s="7"/>
      <c r="J267" s="7"/>
    </row>
    <row r="268" spans="1:10" ht="15.75" x14ac:dyDescent="0.25">
      <c r="A268" s="136" t="str">
        <f>патриотика!A229</f>
        <v xml:space="preserve">Обслуживание систем пожарной сигнализации  </v>
      </c>
      <c r="B268" s="334" t="s">
        <v>22</v>
      </c>
      <c r="C268" s="321"/>
      <c r="D268" s="277">
        <f>A260*1</f>
        <v>0.26300000000000001</v>
      </c>
      <c r="E268" s="251">
        <f>патриотика!E229</f>
        <v>960</v>
      </c>
      <c r="F268" s="493">
        <f t="shared" si="15"/>
        <v>252.48000000000002</v>
      </c>
      <c r="G268" s="179"/>
      <c r="H268" s="7"/>
      <c r="I268" s="7"/>
      <c r="J268" s="7"/>
    </row>
    <row r="269" spans="1:10" ht="15.75" x14ac:dyDescent="0.25">
      <c r="A269" s="136" t="str">
        <f>патриотика!A230</f>
        <v xml:space="preserve">Обслуживание систем видеонаблюдения </v>
      </c>
      <c r="B269" s="334" t="s">
        <v>22</v>
      </c>
      <c r="C269" s="321"/>
      <c r="D269" s="277">
        <f>A260*12</f>
        <v>3.1560000000000001</v>
      </c>
      <c r="E269" s="251">
        <f>патриотика!E230</f>
        <v>1000</v>
      </c>
      <c r="F269" s="493">
        <f t="shared" si="15"/>
        <v>3156</v>
      </c>
      <c r="G269" s="179"/>
      <c r="H269" s="7"/>
      <c r="I269" s="7"/>
      <c r="J269" s="7"/>
    </row>
    <row r="270" spans="1:10" ht="15.75" x14ac:dyDescent="0.25">
      <c r="A270" s="136" t="str">
        <f>патриотика!A231</f>
        <v>Предрейсовое медицинское обследование 247дней*90руб</v>
      </c>
      <c r="B270" s="334" t="s">
        <v>22</v>
      </c>
      <c r="C270" s="321"/>
      <c r="D270" s="277">
        <f>A260</f>
        <v>0.26300000000000001</v>
      </c>
      <c r="E270" s="251">
        <f>патриотика!E231</f>
        <v>18445</v>
      </c>
      <c r="F270" s="493">
        <f t="shared" si="15"/>
        <v>4851.0349999999999</v>
      </c>
      <c r="G270" s="179"/>
      <c r="H270" s="7"/>
      <c r="I270" s="7"/>
      <c r="J270" s="7"/>
    </row>
    <row r="271" spans="1:10" ht="15.75" x14ac:dyDescent="0.25">
      <c r="A271" s="136" t="str">
        <f>патриотика!A232</f>
        <v xml:space="preserve">Услуги охраны  </v>
      </c>
      <c r="B271" s="334" t="s">
        <v>22</v>
      </c>
      <c r="C271" s="321"/>
      <c r="D271" s="277">
        <f>12*A260</f>
        <v>3.1560000000000001</v>
      </c>
      <c r="E271" s="251">
        <f>патриотика!E232</f>
        <v>8000</v>
      </c>
      <c r="F271" s="493">
        <f t="shared" si="15"/>
        <v>25248</v>
      </c>
      <c r="G271" s="179"/>
      <c r="H271" s="7"/>
      <c r="I271" s="7"/>
      <c r="J271" s="7"/>
    </row>
    <row r="272" spans="1:10" ht="15.75" x14ac:dyDescent="0.25">
      <c r="A272" s="136" t="str">
        <f>патриотика!A233</f>
        <v>Обслуживание систем охранных средств сигнализации (тревожная кнопка)</v>
      </c>
      <c r="B272" s="334" t="s">
        <v>22</v>
      </c>
      <c r="C272" s="321"/>
      <c r="D272" s="277">
        <f>12*A260</f>
        <v>3.1560000000000001</v>
      </c>
      <c r="E272" s="251">
        <f>патриотика!E233</f>
        <v>5000</v>
      </c>
      <c r="F272" s="493">
        <f t="shared" si="15"/>
        <v>15780</v>
      </c>
      <c r="G272" s="179"/>
      <c r="H272" s="7"/>
      <c r="I272" s="7"/>
      <c r="J272" s="7"/>
    </row>
    <row r="273" spans="1:10" ht="15.75" x14ac:dyDescent="0.25">
      <c r="A273" s="136" t="str">
        <f>патриотика!A234</f>
        <v>Организация светового сопровождения мероприятия</v>
      </c>
      <c r="B273" s="334" t="s">
        <v>22</v>
      </c>
      <c r="C273" s="321"/>
      <c r="D273" s="277">
        <f>A260</f>
        <v>0.26300000000000001</v>
      </c>
      <c r="E273" s="251">
        <f>патриотика!E234</f>
        <v>31500</v>
      </c>
      <c r="F273" s="493">
        <f t="shared" si="15"/>
        <v>8284.5</v>
      </c>
      <c r="G273" s="179"/>
      <c r="H273" s="7"/>
      <c r="I273" s="7"/>
      <c r="J273" s="7"/>
    </row>
    <row r="274" spans="1:10" ht="15.75" x14ac:dyDescent="0.25">
      <c r="A274" s="136" t="str">
        <f>патриотика!A235</f>
        <v xml:space="preserve">прохождение мед осмотра при устройстве на работу </v>
      </c>
      <c r="B274" s="334" t="s">
        <v>22</v>
      </c>
      <c r="C274" s="321"/>
      <c r="D274" s="277">
        <f>4*A260</f>
        <v>1.052</v>
      </c>
      <c r="E274" s="251">
        <f>патриотика!E235</f>
        <v>3805.5</v>
      </c>
      <c r="F274" s="493">
        <f t="shared" si="15"/>
        <v>4003.386</v>
      </c>
      <c r="G274" s="179"/>
      <c r="H274" s="7"/>
      <c r="I274" s="7"/>
      <c r="J274" s="7"/>
    </row>
    <row r="275" spans="1:10" ht="15.75" x14ac:dyDescent="0.25">
      <c r="A275" s="136" t="str">
        <f>патриотика!A236</f>
        <v>Прохождение предварительного мед осмотра</v>
      </c>
      <c r="B275" s="334" t="s">
        <v>22</v>
      </c>
      <c r="C275" s="321"/>
      <c r="D275" s="277">
        <f>A260</f>
        <v>0.26300000000000001</v>
      </c>
      <c r="E275" s="251">
        <f>патриотика!E236</f>
        <v>3040.32</v>
      </c>
      <c r="F275" s="493">
        <f t="shared" si="15"/>
        <v>799.60416000000009</v>
      </c>
      <c r="G275" s="179"/>
      <c r="H275" s="7"/>
      <c r="I275" s="7"/>
      <c r="J275" s="7"/>
    </row>
    <row r="276" spans="1:10" ht="15.75" x14ac:dyDescent="0.25">
      <c r="A276" s="136" t="str">
        <f>патриотика!A237</f>
        <v>Организация питания воинов-интернационалистов</v>
      </c>
      <c r="B276" s="474" t="s">
        <v>22</v>
      </c>
      <c r="C276" s="458"/>
      <c r="D276" s="277">
        <f>A260</f>
        <v>0.26300000000000001</v>
      </c>
      <c r="E276" s="251">
        <f>патриотика!E237</f>
        <v>18512</v>
      </c>
      <c r="F276" s="493">
        <f t="shared" ref="F276:F277" si="17">D276*E276</f>
        <v>4868.6559999999999</v>
      </c>
      <c r="G276" s="179"/>
      <c r="H276" s="7"/>
      <c r="I276" s="7"/>
      <c r="J276" s="7"/>
    </row>
    <row r="277" spans="1:10" ht="15.75" x14ac:dyDescent="0.25">
      <c r="A277" s="136" t="str">
        <f>патриотика!A238</f>
        <v>Мед осмотр водителя</v>
      </c>
      <c r="B277" s="474" t="s">
        <v>22</v>
      </c>
      <c r="C277" s="458"/>
      <c r="D277" s="277">
        <f>A260</f>
        <v>0.26300000000000001</v>
      </c>
      <c r="E277" s="251">
        <f>патриотика!E238</f>
        <v>4989</v>
      </c>
      <c r="F277" s="493">
        <f t="shared" si="17"/>
        <v>1312.107</v>
      </c>
      <c r="G277" s="179"/>
      <c r="H277" s="7"/>
      <c r="I277" s="7"/>
      <c r="J277" s="7"/>
    </row>
    <row r="278" spans="1:10" ht="15.75" x14ac:dyDescent="0.25">
      <c r="A278" s="136" t="str">
        <f>патриотика!A239</f>
        <v>Страховая премия по полису ОСАГО за УАЗ</v>
      </c>
      <c r="B278" s="334" t="s">
        <v>22</v>
      </c>
      <c r="C278" s="321"/>
      <c r="D278" s="278">
        <f>A260</f>
        <v>0.26300000000000001</v>
      </c>
      <c r="E278" s="251">
        <f>патриотика!E239</f>
        <v>3600.68</v>
      </c>
      <c r="F278" s="493">
        <f t="shared" si="15"/>
        <v>946.97883999999999</v>
      </c>
      <c r="G278" s="179"/>
      <c r="H278" s="7"/>
      <c r="I278" s="7"/>
      <c r="J278" s="7"/>
    </row>
    <row r="279" spans="1:10" ht="15.75" x14ac:dyDescent="0.25">
      <c r="A279" s="136" t="str">
        <f>патриотика!A240</f>
        <v>Microsoft Windows</v>
      </c>
      <c r="B279" s="334" t="s">
        <v>22</v>
      </c>
      <c r="C279" s="321"/>
      <c r="D279" s="278">
        <f>7*A260</f>
        <v>1.8410000000000002</v>
      </c>
      <c r="E279" s="251">
        <f>патриотика!E240</f>
        <v>4400</v>
      </c>
      <c r="F279" s="493">
        <f t="shared" si="15"/>
        <v>8100.4000000000005</v>
      </c>
      <c r="G279" s="179"/>
      <c r="H279" s="7"/>
      <c r="I279" s="7"/>
      <c r="J279" s="7"/>
    </row>
    <row r="280" spans="1:10" ht="15.75" x14ac:dyDescent="0.25">
      <c r="A280" s="136" t="str">
        <f>патриотика!A241</f>
        <v>Microsoft Offise</v>
      </c>
      <c r="B280" s="334" t="s">
        <v>22</v>
      </c>
      <c r="C280" s="321"/>
      <c r="D280" s="277">
        <f>A260*2</f>
        <v>0.52600000000000002</v>
      </c>
      <c r="E280" s="251">
        <f>патриотика!E241</f>
        <v>6630</v>
      </c>
      <c r="F280" s="493">
        <f t="shared" si="15"/>
        <v>3487.38</v>
      </c>
      <c r="G280" s="179"/>
      <c r="H280" s="7"/>
      <c r="I280" s="7"/>
      <c r="J280" s="7"/>
    </row>
    <row r="281" spans="1:10" ht="15.75" x14ac:dyDescent="0.25">
      <c r="A281" s="136" t="str">
        <f>патриотика!A242</f>
        <v>Dr Web Security</v>
      </c>
      <c r="B281" s="334" t="s">
        <v>22</v>
      </c>
      <c r="C281" s="321"/>
      <c r="D281" s="181">
        <f>A260</f>
        <v>0.26300000000000001</v>
      </c>
      <c r="E281" s="251">
        <f>патриотика!E242</f>
        <v>1450</v>
      </c>
      <c r="F281" s="493">
        <f t="shared" si="15"/>
        <v>381.35</v>
      </c>
      <c r="G281" s="179"/>
      <c r="H281" s="7"/>
      <c r="I281" s="7"/>
      <c r="J281" s="7"/>
    </row>
    <row r="282" spans="1:10" ht="15.75" x14ac:dyDescent="0.25">
      <c r="A282" s="136" t="str">
        <f>патриотика!A243</f>
        <v>Dr Web Security Spase</v>
      </c>
      <c r="B282" s="334" t="s">
        <v>22</v>
      </c>
      <c r="C282" s="321"/>
      <c r="D282" s="181">
        <f>A260</f>
        <v>0.26300000000000001</v>
      </c>
      <c r="E282" s="251">
        <f>патриотика!E243</f>
        <v>2750</v>
      </c>
      <c r="F282" s="493">
        <f t="shared" si="15"/>
        <v>723.25</v>
      </c>
      <c r="G282" s="179"/>
      <c r="H282" s="7"/>
      <c r="I282" s="7"/>
      <c r="J282" s="7"/>
    </row>
    <row r="283" spans="1:10" ht="15.75" hidden="1" x14ac:dyDescent="0.25">
      <c r="A283" s="136" t="str">
        <f>'инновации+добровольчество'!A228</f>
        <v>Оплата гос пошлины</v>
      </c>
      <c r="B283" s="321" t="str">
        <f>'инновации+добровольчество'!B228</f>
        <v>ед</v>
      </c>
      <c r="C283" s="321"/>
      <c r="D283" s="181">
        <f>D282</f>
        <v>0.26300000000000001</v>
      </c>
      <c r="E283" s="251">
        <f>патриотика!E244</f>
        <v>0</v>
      </c>
      <c r="F283" s="459">
        <f t="shared" si="15"/>
        <v>0</v>
      </c>
      <c r="G283" s="179"/>
      <c r="H283" s="7"/>
      <c r="I283" s="7"/>
      <c r="J283" s="7"/>
    </row>
    <row r="284" spans="1:10" ht="15.75" hidden="1" x14ac:dyDescent="0.25">
      <c r="A284" s="136" t="str">
        <f>'инновации+добровольчество'!A229</f>
        <v xml:space="preserve">Оплата за негативное воздействие </v>
      </c>
      <c r="B284" s="321" t="str">
        <f>'инновации+добровольчество'!B229</f>
        <v>ед</v>
      </c>
      <c r="C284" s="321"/>
      <c r="D284" s="181">
        <f>D283</f>
        <v>0.26300000000000001</v>
      </c>
      <c r="E284" s="251">
        <f>патриотика!E245</f>
        <v>0</v>
      </c>
      <c r="F284" s="459">
        <f t="shared" si="15"/>
        <v>0</v>
      </c>
      <c r="G284" s="179"/>
      <c r="H284" s="7"/>
      <c r="I284" s="7"/>
      <c r="J284" s="7"/>
    </row>
    <row r="285" spans="1:10" ht="15.75" x14ac:dyDescent="0.25">
      <c r="A285" s="136" t="str">
        <f>патриотика!A246</f>
        <v>ПУГНП</v>
      </c>
      <c r="B285" s="88" t="s">
        <v>91</v>
      </c>
      <c r="C285" s="321"/>
      <c r="D285" s="181">
        <f>PRODUCT(Лист1!G3,$A$260)</f>
        <v>13.15</v>
      </c>
      <c r="E285" s="342">
        <f>Лист1!H3</f>
        <v>28</v>
      </c>
      <c r="F285" s="459">
        <f t="shared" si="15"/>
        <v>368.2</v>
      </c>
      <c r="G285" s="179"/>
      <c r="H285" s="7"/>
      <c r="I285" s="7"/>
      <c r="J285" s="7"/>
    </row>
    <row r="286" spans="1:10" ht="15.75" x14ac:dyDescent="0.25">
      <c r="A286" s="136" t="str">
        <f>патриотика!A247</f>
        <v>пакет майка</v>
      </c>
      <c r="B286" s="88" t="s">
        <v>91</v>
      </c>
      <c r="C286" s="321"/>
      <c r="D286" s="181">
        <f>PRODUCT(Лист1!G4,$A$260)</f>
        <v>0.26300000000000001</v>
      </c>
      <c r="E286" s="342">
        <f>Лист1!H4</f>
        <v>5</v>
      </c>
      <c r="F286" s="459">
        <f t="shared" si="15"/>
        <v>1.3149999999999999</v>
      </c>
      <c r="G286" s="179"/>
      <c r="H286" s="7"/>
      <c r="I286" s="7"/>
      <c r="J286" s="7"/>
    </row>
    <row r="287" spans="1:10" ht="15.75" x14ac:dyDescent="0.25">
      <c r="A287" s="136" t="str">
        <f>патриотика!A248</f>
        <v>розетка</v>
      </c>
      <c r="B287" s="88" t="s">
        <v>91</v>
      </c>
      <c r="C287" s="321"/>
      <c r="D287" s="181">
        <f>PRODUCT(Лист1!G5,$A$260)</f>
        <v>1.3149999999999999</v>
      </c>
      <c r="E287" s="342">
        <f>Лист1!H5</f>
        <v>163</v>
      </c>
      <c r="F287" s="459">
        <f t="shared" si="15"/>
        <v>214.345</v>
      </c>
      <c r="G287" s="179"/>
      <c r="H287" s="7"/>
      <c r="I287" s="7"/>
      <c r="J287" s="7"/>
    </row>
    <row r="288" spans="1:10" ht="15.75" x14ac:dyDescent="0.25">
      <c r="A288" s="136" t="str">
        <f>патриотика!A249</f>
        <v>Вилка евро</v>
      </c>
      <c r="B288" s="88" t="s">
        <v>91</v>
      </c>
      <c r="C288" s="321"/>
      <c r="D288" s="181">
        <f>PRODUCT(Лист1!G6,$A$260)</f>
        <v>1.3149999999999999</v>
      </c>
      <c r="E288" s="342">
        <f>Лист1!H6</f>
        <v>180</v>
      </c>
      <c r="F288" s="459">
        <f t="shared" si="15"/>
        <v>236.7</v>
      </c>
      <c r="G288" s="179"/>
      <c r="H288" s="7"/>
      <c r="I288" s="7"/>
      <c r="J288" s="7"/>
    </row>
    <row r="289" spans="1:10" ht="15.75" x14ac:dyDescent="0.25">
      <c r="A289" s="136" t="str">
        <f>патриотика!A250</f>
        <v>розетка "Пралеска"</v>
      </c>
      <c r="B289" s="88" t="s">
        <v>91</v>
      </c>
      <c r="C289" s="321"/>
      <c r="D289" s="181">
        <f>PRODUCT(Лист1!G7,$A$260)</f>
        <v>0.78900000000000003</v>
      </c>
      <c r="E289" s="342">
        <f>Лист1!H7</f>
        <v>379</v>
      </c>
      <c r="F289" s="459">
        <f t="shared" si="15"/>
        <v>299.03100000000001</v>
      </c>
      <c r="G289" s="179"/>
      <c r="H289" s="7"/>
      <c r="I289" s="7"/>
      <c r="J289" s="7"/>
    </row>
    <row r="290" spans="1:10" ht="15.75" x14ac:dyDescent="0.25">
      <c r="A290" s="136" t="str">
        <f>патриотика!A251</f>
        <v>лампа "Онлайт"</v>
      </c>
      <c r="B290" s="88" t="s">
        <v>91</v>
      </c>
      <c r="C290" s="321"/>
      <c r="D290" s="181">
        <f>PRODUCT(Лист1!G8,$A$260)</f>
        <v>6.8380000000000001</v>
      </c>
      <c r="E290" s="342">
        <f>Лист1!H8</f>
        <v>76</v>
      </c>
      <c r="F290" s="459">
        <f t="shared" si="15"/>
        <v>519.68799999999999</v>
      </c>
      <c r="G290" s="179"/>
      <c r="H290" s="7"/>
      <c r="I290" s="7"/>
      <c r="J290" s="7"/>
    </row>
    <row r="291" spans="1:10" ht="15.75" x14ac:dyDescent="0.25">
      <c r="A291" s="136" t="str">
        <f>патриотика!A252</f>
        <v>пугнп</v>
      </c>
      <c r="B291" s="88" t="s">
        <v>91</v>
      </c>
      <c r="C291" s="321"/>
      <c r="D291" s="181">
        <f>PRODUCT(Лист1!G9,$A$260)</f>
        <v>1.8410000000000002</v>
      </c>
      <c r="E291" s="342">
        <f>Лист1!H9</f>
        <v>28</v>
      </c>
      <c r="F291" s="459">
        <f t="shared" si="15"/>
        <v>51.548000000000002</v>
      </c>
      <c r="G291" s="179"/>
      <c r="H291" s="7"/>
      <c r="I291" s="7"/>
      <c r="J291" s="7"/>
    </row>
    <row r="292" spans="1:10" ht="15.75" x14ac:dyDescent="0.25">
      <c r="A292" s="136" t="str">
        <f>патриотика!A253</f>
        <v>светильник точечный</v>
      </c>
      <c r="B292" s="88" t="s">
        <v>91</v>
      </c>
      <c r="C292" s="321"/>
      <c r="D292" s="181">
        <f>PRODUCT(Лист1!G10,$A$260)</f>
        <v>2.63</v>
      </c>
      <c r="E292" s="342">
        <f>Лист1!H10</f>
        <v>68</v>
      </c>
      <c r="F292" s="459">
        <f t="shared" si="15"/>
        <v>178.84</v>
      </c>
      <c r="G292" s="179"/>
      <c r="H292" s="7"/>
      <c r="I292" s="7"/>
      <c r="J292" s="7"/>
    </row>
    <row r="293" spans="1:10" ht="15.75" x14ac:dyDescent="0.25">
      <c r="A293" s="136" t="str">
        <f>патриотика!A254</f>
        <v>светильник точечный</v>
      </c>
      <c r="B293" s="88" t="s">
        <v>91</v>
      </c>
      <c r="C293" s="321"/>
      <c r="D293" s="181">
        <f>PRODUCT(Лист1!G11,$A$260)</f>
        <v>2.63</v>
      </c>
      <c r="E293" s="342">
        <f>Лист1!H11</f>
        <v>105</v>
      </c>
      <c r="F293" s="459">
        <f t="shared" si="15"/>
        <v>276.14999999999998</v>
      </c>
      <c r="G293" s="179"/>
      <c r="H293" s="7"/>
      <c r="I293" s="7"/>
      <c r="J293" s="7"/>
    </row>
    <row r="294" spans="1:10" ht="15.75" x14ac:dyDescent="0.25">
      <c r="A294" s="136" t="str">
        <f>патриотика!A255</f>
        <v>светильник точечный</v>
      </c>
      <c r="B294" s="88" t="s">
        <v>91</v>
      </c>
      <c r="C294" s="321"/>
      <c r="D294" s="181">
        <f>PRODUCT(Лист1!G12,$A$260)</f>
        <v>1.5780000000000001</v>
      </c>
      <c r="E294" s="342">
        <f>Лист1!H12</f>
        <v>93</v>
      </c>
      <c r="F294" s="459">
        <f t="shared" si="15"/>
        <v>146.75400000000002</v>
      </c>
      <c r="G294" s="179"/>
      <c r="H294" s="7"/>
      <c r="I294" s="7"/>
      <c r="J294" s="7"/>
    </row>
    <row r="295" spans="1:10" ht="15.75" x14ac:dyDescent="0.25">
      <c r="A295" s="136" t="str">
        <f>патриотика!A256</f>
        <v>эмаль аэрозоль</v>
      </c>
      <c r="B295" s="88" t="s">
        <v>91</v>
      </c>
      <c r="C295" s="321"/>
      <c r="D295" s="181">
        <f>PRODUCT(Лист1!G13,$A$260)</f>
        <v>0.52600000000000002</v>
      </c>
      <c r="E295" s="342">
        <f>Лист1!H13</f>
        <v>220</v>
      </c>
      <c r="F295" s="459">
        <f t="shared" si="15"/>
        <v>115.72</v>
      </c>
      <c r="G295" s="179"/>
      <c r="H295" s="7"/>
      <c r="I295" s="7"/>
      <c r="J295" s="7"/>
    </row>
    <row r="296" spans="1:10" ht="15.75" x14ac:dyDescent="0.25">
      <c r="A296" s="136" t="str">
        <f>патриотика!A257</f>
        <v>пила сегментная</v>
      </c>
      <c r="B296" s="88" t="s">
        <v>91</v>
      </c>
      <c r="C296" s="321"/>
      <c r="D296" s="181">
        <f>PRODUCT(Лист1!G14,$A$260)</f>
        <v>0.26300000000000001</v>
      </c>
      <c r="E296" s="342">
        <f>Лист1!H14</f>
        <v>543</v>
      </c>
      <c r="F296" s="459">
        <f t="shared" si="15"/>
        <v>142.809</v>
      </c>
      <c r="G296" s="179"/>
      <c r="H296" s="7"/>
      <c r="I296" s="7"/>
      <c r="J296" s="7"/>
    </row>
    <row r="297" spans="1:10" ht="15.75" x14ac:dyDescent="0.25">
      <c r="A297" s="136" t="str">
        <f>патриотика!A258</f>
        <v>комплект крепежей для батареи</v>
      </c>
      <c r="B297" s="88" t="s">
        <v>91</v>
      </c>
      <c r="C297" s="321"/>
      <c r="D297" s="181">
        <f>PRODUCT(Лист1!G15,$A$260)</f>
        <v>0.78900000000000003</v>
      </c>
      <c r="E297" s="342">
        <f>Лист1!H15</f>
        <v>270</v>
      </c>
      <c r="F297" s="459">
        <f t="shared" si="15"/>
        <v>213.03</v>
      </c>
      <c r="G297" s="179"/>
      <c r="H297" s="7"/>
      <c r="I297" s="7"/>
      <c r="J297" s="7"/>
    </row>
    <row r="298" spans="1:10" ht="15.75" x14ac:dyDescent="0.25">
      <c r="A298" s="136" t="str">
        <f>патриотика!A259</f>
        <v>набор для радиатора</v>
      </c>
      <c r="B298" s="88" t="s">
        <v>91</v>
      </c>
      <c r="C298" s="321"/>
      <c r="D298" s="181">
        <f>PRODUCT(Лист1!G16,$A$260)</f>
        <v>0.78900000000000003</v>
      </c>
      <c r="E298" s="342">
        <f>Лист1!H16</f>
        <v>235</v>
      </c>
      <c r="F298" s="459">
        <f t="shared" si="15"/>
        <v>185.41500000000002</v>
      </c>
      <c r="G298" s="179"/>
      <c r="H298" s="7"/>
      <c r="I298" s="7"/>
      <c r="J298" s="7"/>
    </row>
    <row r="299" spans="1:10" ht="15.75" x14ac:dyDescent="0.25">
      <c r="A299" s="136" t="str">
        <f>патриотика!A260</f>
        <v>лампа "Онлайт"</v>
      </c>
      <c r="B299" s="88" t="s">
        <v>91</v>
      </c>
      <c r="C299" s="321"/>
      <c r="D299" s="181">
        <f>PRODUCT(Лист1!G17,$A$260)</f>
        <v>1.3149999999999999</v>
      </c>
      <c r="E299" s="342">
        <f>Лист1!H17</f>
        <v>165</v>
      </c>
      <c r="F299" s="459">
        <f t="shared" si="15"/>
        <v>216.97499999999999</v>
      </c>
      <c r="G299" s="179"/>
      <c r="H299" s="7"/>
      <c r="I299" s="7"/>
      <c r="J299" s="7"/>
    </row>
    <row r="300" spans="1:10" ht="15.75" x14ac:dyDescent="0.25">
      <c r="A300" s="136" t="str">
        <f>патриотика!A261</f>
        <v>Прожектор светодиодный</v>
      </c>
      <c r="B300" s="88" t="s">
        <v>91</v>
      </c>
      <c r="C300" s="321"/>
      <c r="D300" s="181">
        <f>PRODUCT(Лист1!G18,$A$260)</f>
        <v>0.52600000000000002</v>
      </c>
      <c r="E300" s="342">
        <f>Лист1!H18</f>
        <v>280</v>
      </c>
      <c r="F300" s="459">
        <f t="shared" si="15"/>
        <v>147.28</v>
      </c>
      <c r="G300" s="179"/>
      <c r="H300" s="7"/>
      <c r="I300" s="7"/>
      <c r="J300" s="7"/>
    </row>
    <row r="301" spans="1:10" ht="15.75" x14ac:dyDescent="0.25">
      <c r="A301" s="136" t="str">
        <f>патриотика!A262</f>
        <v>скотч 48 мм</v>
      </c>
      <c r="B301" s="88" t="s">
        <v>91</v>
      </c>
      <c r="C301" s="321"/>
      <c r="D301" s="181">
        <f>PRODUCT(Лист1!G19,$A$260)</f>
        <v>3.1560000000000001</v>
      </c>
      <c r="E301" s="342">
        <f>Лист1!H19</f>
        <v>120</v>
      </c>
      <c r="F301" s="459">
        <f t="shared" si="15"/>
        <v>378.72</v>
      </c>
      <c r="G301" s="179"/>
      <c r="H301" s="7"/>
      <c r="I301" s="7"/>
      <c r="J301" s="7"/>
    </row>
    <row r="302" spans="1:10" ht="15.75" x14ac:dyDescent="0.25">
      <c r="A302" s="136" t="str">
        <f>патриотика!A263</f>
        <v>скотч армированный</v>
      </c>
      <c r="B302" s="88" t="s">
        <v>91</v>
      </c>
      <c r="C302" s="321"/>
      <c r="D302" s="181">
        <f>PRODUCT(Лист1!G20,$A$260)</f>
        <v>0.52600000000000002</v>
      </c>
      <c r="E302" s="342">
        <f>Лист1!H20</f>
        <v>77</v>
      </c>
      <c r="F302" s="459">
        <f t="shared" si="15"/>
        <v>40.502000000000002</v>
      </c>
      <c r="G302" s="179"/>
      <c r="H302" s="7"/>
      <c r="I302" s="7"/>
      <c r="J302" s="7"/>
    </row>
    <row r="303" spans="1:10" ht="15.75" x14ac:dyDescent="0.25">
      <c r="A303" s="136" t="str">
        <f>патриотика!A264</f>
        <v>эмаль аэрозоль металлик</v>
      </c>
      <c r="B303" s="88" t="s">
        <v>91</v>
      </c>
      <c r="C303" s="321"/>
      <c r="D303" s="181">
        <f>PRODUCT(Лист1!G21,$A$260)</f>
        <v>0.26300000000000001</v>
      </c>
      <c r="E303" s="342">
        <f>Лист1!H21</f>
        <v>220</v>
      </c>
      <c r="F303" s="459">
        <f t="shared" si="15"/>
        <v>57.86</v>
      </c>
      <c r="G303" s="179"/>
      <c r="H303" s="7"/>
      <c r="I303" s="7"/>
      <c r="J303" s="7"/>
    </row>
    <row r="304" spans="1:10" ht="15.75" x14ac:dyDescent="0.25">
      <c r="A304" s="136" t="str">
        <f>патриотика!A265</f>
        <v>эмаль аэрозоль коричн</v>
      </c>
      <c r="B304" s="88" t="s">
        <v>91</v>
      </c>
      <c r="C304" s="321"/>
      <c r="D304" s="181">
        <f>PRODUCT(Лист1!G22,$A$260)</f>
        <v>0.26300000000000001</v>
      </c>
      <c r="E304" s="342">
        <f>Лист1!H22</f>
        <v>193</v>
      </c>
      <c r="F304" s="459">
        <f t="shared" si="15"/>
        <v>50.759</v>
      </c>
      <c r="G304" s="179"/>
      <c r="H304" s="7"/>
      <c r="I304" s="7"/>
      <c r="J304" s="7"/>
    </row>
    <row r="305" spans="1:13" ht="15.75" x14ac:dyDescent="0.25">
      <c r="A305" s="136" t="str">
        <f>патриотика!A266</f>
        <v>эмаль разн цвет</v>
      </c>
      <c r="B305" s="88" t="s">
        <v>91</v>
      </c>
      <c r="C305" s="321"/>
      <c r="D305" s="181">
        <f>PRODUCT(Лист1!G23,$A$260)</f>
        <v>1.052</v>
      </c>
      <c r="E305" s="342">
        <f>Лист1!H23</f>
        <v>270</v>
      </c>
      <c r="F305" s="459">
        <f t="shared" si="15"/>
        <v>284.04000000000002</v>
      </c>
      <c r="G305" s="179"/>
      <c r="H305" s="7"/>
      <c r="I305" s="7"/>
      <c r="J305" s="7"/>
    </row>
    <row r="306" spans="1:13" ht="15.75" x14ac:dyDescent="0.25">
      <c r="A306" s="136" t="str">
        <f>патриотика!A267</f>
        <v>скоба</v>
      </c>
      <c r="B306" s="88" t="s">
        <v>91</v>
      </c>
      <c r="C306" s="321"/>
      <c r="D306" s="181">
        <f>PRODUCT(Лист1!G24,$A$260)</f>
        <v>1.3149999999999999</v>
      </c>
      <c r="E306" s="342">
        <f>Лист1!H24</f>
        <v>54</v>
      </c>
      <c r="F306" s="459">
        <f t="shared" si="15"/>
        <v>71.009999999999991</v>
      </c>
      <c r="G306" s="179"/>
      <c r="H306" s="7"/>
      <c r="I306" s="7"/>
      <c r="J306" s="7"/>
    </row>
    <row r="307" spans="1:13" ht="15.75" x14ac:dyDescent="0.25">
      <c r="A307" s="136" t="str">
        <f>патриотика!A268</f>
        <v>стяжка для провода</v>
      </c>
      <c r="B307" s="88" t="s">
        <v>91</v>
      </c>
      <c r="C307" s="321"/>
      <c r="D307" s="181">
        <f>PRODUCT(Лист1!G25,$A$260)</f>
        <v>0.52600000000000002</v>
      </c>
      <c r="E307" s="342">
        <f>Лист1!H25</f>
        <v>223</v>
      </c>
      <c r="F307" s="459">
        <f t="shared" si="15"/>
        <v>117.298</v>
      </c>
      <c r="G307" s="179"/>
      <c r="H307" s="7"/>
      <c r="I307" s="7"/>
      <c r="J307" s="7"/>
    </row>
    <row r="308" spans="1:13" ht="15.75" x14ac:dyDescent="0.25">
      <c r="A308" s="136" t="str">
        <f>патриотика!A269</f>
        <v>стяжка для провода</v>
      </c>
      <c r="B308" s="88" t="s">
        <v>91</v>
      </c>
      <c r="C308" s="321"/>
      <c r="D308" s="181">
        <f>PRODUCT(Лист1!G26,$A$260)</f>
        <v>0.52600000000000002</v>
      </c>
      <c r="E308" s="342">
        <f>Лист1!H26</f>
        <v>90</v>
      </c>
      <c r="F308" s="459">
        <f t="shared" si="15"/>
        <v>47.34</v>
      </c>
      <c r="G308" s="179"/>
      <c r="H308" s="7"/>
      <c r="I308" s="7"/>
      <c r="J308" s="7"/>
    </row>
    <row r="309" spans="1:13" ht="15.75" x14ac:dyDescent="0.25">
      <c r="A309" s="136" t="str">
        <f>патриотика!A270</f>
        <v>дюбель</v>
      </c>
      <c r="B309" s="88" t="s">
        <v>91</v>
      </c>
      <c r="C309" s="321"/>
      <c r="D309" s="181">
        <f>PRODUCT(Лист1!G27,$A$260)</f>
        <v>52.337000000000003</v>
      </c>
      <c r="E309" s="342">
        <f>Лист1!H27</f>
        <v>1</v>
      </c>
      <c r="F309" s="459">
        <f t="shared" si="15"/>
        <v>52.337000000000003</v>
      </c>
      <c r="G309" s="179"/>
      <c r="H309" s="7"/>
      <c r="I309" s="7"/>
      <c r="J309" s="7"/>
    </row>
    <row r="310" spans="1:13" ht="15.75" x14ac:dyDescent="0.25">
      <c r="A310" s="136" t="str">
        <f>патриотика!A271</f>
        <v>бокорезы</v>
      </c>
      <c r="B310" s="88" t="s">
        <v>91</v>
      </c>
      <c r="C310" s="321"/>
      <c r="D310" s="181">
        <f>PRODUCT(Лист1!G28,$A$260)</f>
        <v>0.26300000000000001</v>
      </c>
      <c r="E310" s="342">
        <f>Лист1!H28</f>
        <v>371</v>
      </c>
      <c r="F310" s="459">
        <f t="shared" si="15"/>
        <v>97.573000000000008</v>
      </c>
      <c r="G310" s="179"/>
      <c r="H310" s="7"/>
      <c r="I310" s="7"/>
      <c r="J310" s="7"/>
    </row>
    <row r="311" spans="1:13" ht="15.75" x14ac:dyDescent="0.25">
      <c r="A311" s="136" t="str">
        <f>патриотика!A272</f>
        <v>плоскогубцы</v>
      </c>
      <c r="B311" s="88" t="s">
        <v>91</v>
      </c>
      <c r="C311" s="321"/>
      <c r="D311" s="181">
        <f>PRODUCT(Лист1!G29,$A$260)</f>
        <v>0.26300000000000001</v>
      </c>
      <c r="E311" s="342">
        <f>Лист1!H29</f>
        <v>329</v>
      </c>
      <c r="F311" s="459">
        <f t="shared" si="15"/>
        <v>86.527000000000001</v>
      </c>
      <c r="G311" s="179"/>
      <c r="H311" s="7"/>
      <c r="I311" s="7"/>
      <c r="J311" s="7"/>
    </row>
    <row r="312" spans="1:13" ht="15.75" x14ac:dyDescent="0.25">
      <c r="A312" s="136" t="str">
        <f>патриотика!A273</f>
        <v>бита</v>
      </c>
      <c r="B312" s="88" t="s">
        <v>91</v>
      </c>
      <c r="C312" s="321"/>
      <c r="D312" s="181">
        <f>PRODUCT(Лист1!G30,$A$260)</f>
        <v>0.26300000000000001</v>
      </c>
      <c r="E312" s="342">
        <f>Лист1!H30</f>
        <v>101</v>
      </c>
      <c r="F312" s="459">
        <f t="shared" si="15"/>
        <v>26.563000000000002</v>
      </c>
      <c r="G312" s="179"/>
      <c r="H312" s="7"/>
      <c r="I312" s="7"/>
      <c r="J312" s="7"/>
    </row>
    <row r="313" spans="1:13" ht="15.75" x14ac:dyDescent="0.25">
      <c r="A313" s="136" t="str">
        <f>патриотика!A274</f>
        <v>бита</v>
      </c>
      <c r="B313" s="88" t="s">
        <v>91</v>
      </c>
      <c r="C313" s="321"/>
      <c r="D313" s="181">
        <f>PRODUCT(Лист1!G31,$A$260)</f>
        <v>0.26300000000000001</v>
      </c>
      <c r="E313" s="342">
        <f>Лист1!H31</f>
        <v>61</v>
      </c>
      <c r="F313" s="459">
        <f t="shared" si="15"/>
        <v>16.042999999999999</v>
      </c>
      <c r="G313" s="179"/>
      <c r="H313" s="7"/>
      <c r="I313" s="7"/>
      <c r="J313" s="7"/>
    </row>
    <row r="314" spans="1:13" ht="15.75" x14ac:dyDescent="0.25">
      <c r="A314" s="136" t="str">
        <f>патриотика!A275</f>
        <v>угольник</v>
      </c>
      <c r="B314" s="88" t="s">
        <v>91</v>
      </c>
      <c r="C314" s="88">
        <v>1</v>
      </c>
      <c r="D314" s="181">
        <f>PRODUCT(Лист1!G32,$A$260)</f>
        <v>0.26300000000000001</v>
      </c>
      <c r="E314" s="342">
        <f>Лист1!H32</f>
        <v>582</v>
      </c>
      <c r="F314" s="459">
        <f t="shared" si="15"/>
        <v>153.066</v>
      </c>
      <c r="G314" s="179"/>
      <c r="H314" s="7"/>
      <c r="I314" s="7"/>
      <c r="J314" s="7"/>
      <c r="K314" s="152"/>
      <c r="L314" s="123"/>
      <c r="M314" s="153"/>
    </row>
    <row r="315" spans="1:13" ht="15.75" x14ac:dyDescent="0.25">
      <c r="A315" s="136" t="str">
        <f>патриотика!A276</f>
        <v>угольник</v>
      </c>
      <c r="B315" s="88" t="s">
        <v>91</v>
      </c>
      <c r="C315" s="88">
        <v>4</v>
      </c>
      <c r="D315" s="181">
        <f>PRODUCT(Лист1!G33,$A$260)</f>
        <v>0.26300000000000001</v>
      </c>
      <c r="E315" s="342">
        <f>Лист1!H33</f>
        <v>449</v>
      </c>
      <c r="F315" s="459">
        <f t="shared" si="15"/>
        <v>118.087</v>
      </c>
      <c r="G315" s="179"/>
      <c r="H315" s="7"/>
      <c r="I315" s="7"/>
      <c r="J315" s="7"/>
      <c r="K315" s="152"/>
      <c r="L315" s="123"/>
      <c r="M315" s="153"/>
    </row>
    <row r="316" spans="1:13" ht="15.75" x14ac:dyDescent="0.25">
      <c r="A316" s="136" t="str">
        <f>патриотика!A277</f>
        <v>штангенциркуль</v>
      </c>
      <c r="B316" s="88" t="s">
        <v>91</v>
      </c>
      <c r="C316" s="88">
        <v>4</v>
      </c>
      <c r="D316" s="181">
        <f>PRODUCT(Лист1!G34,$A$260)</f>
        <v>0.26300000000000001</v>
      </c>
      <c r="E316" s="342">
        <f>Лист1!H34</f>
        <v>800</v>
      </c>
      <c r="F316" s="459">
        <f t="shared" si="15"/>
        <v>210.4</v>
      </c>
      <c r="G316" s="179"/>
      <c r="H316" s="7"/>
      <c r="I316" s="7"/>
      <c r="J316" s="7"/>
      <c r="K316" s="152"/>
      <c r="L316" s="123"/>
      <c r="M316" s="153"/>
    </row>
    <row r="317" spans="1:13" ht="15.75" x14ac:dyDescent="0.25">
      <c r="A317" s="136" t="str">
        <f>патриотика!A278</f>
        <v>пугнп 2*1,5</v>
      </c>
      <c r="B317" s="88" t="s">
        <v>91</v>
      </c>
      <c r="C317" s="88">
        <v>6</v>
      </c>
      <c r="D317" s="181">
        <f>PRODUCT(Лист1!G35,$A$260)</f>
        <v>52.6</v>
      </c>
      <c r="E317" s="342">
        <f>Лист1!H35</f>
        <v>28</v>
      </c>
      <c r="F317" s="459">
        <f t="shared" si="15"/>
        <v>1472.8</v>
      </c>
      <c r="G317" s="179"/>
      <c r="H317" s="7"/>
      <c r="I317" s="7"/>
      <c r="J317" s="7"/>
      <c r="K317" s="152"/>
      <c r="L317" s="123"/>
      <c r="M317" s="153"/>
    </row>
    <row r="318" spans="1:13" ht="15.75" x14ac:dyDescent="0.25">
      <c r="A318" s="136" t="str">
        <f>патриотика!A279</f>
        <v>пугнп 2*2,5</v>
      </c>
      <c r="B318" s="88" t="s">
        <v>91</v>
      </c>
      <c r="C318" s="88">
        <v>5</v>
      </c>
      <c r="D318" s="181">
        <f>PRODUCT(Лист1!G36,$A$260)</f>
        <v>52.6</v>
      </c>
      <c r="E318" s="342">
        <f>Лист1!H36</f>
        <v>43</v>
      </c>
      <c r="F318" s="459">
        <f t="shared" si="15"/>
        <v>2261.8000000000002</v>
      </c>
      <c r="G318" s="179"/>
      <c r="H318" s="7"/>
      <c r="I318" s="7"/>
      <c r="J318" s="7"/>
      <c r="K318" s="152"/>
      <c r="L318" s="123"/>
      <c r="M318" s="153"/>
    </row>
    <row r="319" spans="1:13" ht="15.75" x14ac:dyDescent="0.25">
      <c r="A319" s="136" t="str">
        <f>патриотика!A280</f>
        <v>зажимы</v>
      </c>
      <c r="B319" s="88" t="s">
        <v>91</v>
      </c>
      <c r="C319" s="88">
        <v>1</v>
      </c>
      <c r="D319" s="181">
        <f>PRODUCT(Лист1!G37,$A$260)</f>
        <v>1.3149999999999999</v>
      </c>
      <c r="E319" s="342">
        <f>Лист1!H37</f>
        <v>50</v>
      </c>
      <c r="F319" s="459">
        <f t="shared" si="15"/>
        <v>65.75</v>
      </c>
      <c r="G319" s="179"/>
      <c r="H319" s="7"/>
      <c r="I319" s="7"/>
      <c r="J319" s="7"/>
      <c r="K319" s="152"/>
      <c r="L319" s="123"/>
      <c r="M319" s="153"/>
    </row>
    <row r="320" spans="1:13" ht="15.75" x14ac:dyDescent="0.25">
      <c r="A320" s="136" t="str">
        <f>патриотика!A281</f>
        <v>коробка установочная</v>
      </c>
      <c r="B320" s="88" t="s">
        <v>91</v>
      </c>
      <c r="C320" s="88">
        <v>2</v>
      </c>
      <c r="D320" s="181">
        <f>PRODUCT(Лист1!G38,$A$260)</f>
        <v>2.63</v>
      </c>
      <c r="E320" s="342">
        <f>Лист1!H38</f>
        <v>15</v>
      </c>
      <c r="F320" s="459">
        <f t="shared" si="15"/>
        <v>39.449999999999996</v>
      </c>
      <c r="G320" s="179"/>
      <c r="H320" s="7"/>
      <c r="I320" s="7"/>
      <c r="J320" s="7"/>
      <c r="K320" s="152"/>
      <c r="L320" s="123"/>
      <c r="M320" s="153"/>
    </row>
    <row r="321" spans="1:13" ht="15.75" x14ac:dyDescent="0.25">
      <c r="A321" s="136" t="str">
        <f>патриотика!A282</f>
        <v>розетка</v>
      </c>
      <c r="B321" s="88" t="s">
        <v>91</v>
      </c>
      <c r="C321" s="88">
        <v>2</v>
      </c>
      <c r="D321" s="181">
        <f>PRODUCT(Лист1!G39,$A$260)</f>
        <v>2.63</v>
      </c>
      <c r="E321" s="342">
        <f>Лист1!H39</f>
        <v>219</v>
      </c>
      <c r="F321" s="459">
        <f t="shared" si="15"/>
        <v>575.97</v>
      </c>
      <c r="G321" s="179"/>
      <c r="H321" s="7"/>
      <c r="I321" s="7"/>
      <c r="J321" s="7"/>
      <c r="K321" s="152"/>
      <c r="L321" s="123"/>
      <c r="M321" s="153"/>
    </row>
    <row r="322" spans="1:13" ht="15.75" x14ac:dyDescent="0.25">
      <c r="A322" s="136" t="str">
        <f>патриотика!A283</f>
        <v>розетка</v>
      </c>
      <c r="B322" s="88" t="s">
        <v>91</v>
      </c>
      <c r="C322" s="88">
        <v>3</v>
      </c>
      <c r="D322" s="181">
        <f>PRODUCT(Лист1!G40,$A$260)</f>
        <v>1.3149999999999999</v>
      </c>
      <c r="E322" s="342">
        <f>Лист1!H40</f>
        <v>163</v>
      </c>
      <c r="F322" s="459">
        <f t="shared" si="15"/>
        <v>214.345</v>
      </c>
      <c r="G322" s="179"/>
      <c r="H322" s="7"/>
      <c r="I322" s="7"/>
      <c r="J322" s="7"/>
      <c r="K322" s="152"/>
      <c r="L322" s="123"/>
      <c r="M322" s="153"/>
    </row>
    <row r="323" spans="1:13" ht="15.75" x14ac:dyDescent="0.25">
      <c r="A323" s="136" t="str">
        <f>патриотика!A284</f>
        <v>вилка прямая</v>
      </c>
      <c r="B323" s="88" t="s">
        <v>91</v>
      </c>
      <c r="C323" s="88">
        <v>4</v>
      </c>
      <c r="D323" s="181">
        <f>PRODUCT(Лист1!G41,$A$260)</f>
        <v>0.26300000000000001</v>
      </c>
      <c r="E323" s="342">
        <f>Лист1!H41</f>
        <v>180</v>
      </c>
      <c r="F323" s="459">
        <f t="shared" si="15"/>
        <v>47.34</v>
      </c>
      <c r="G323" s="179"/>
      <c r="H323" s="7"/>
      <c r="I323" s="7"/>
      <c r="J323" s="7"/>
      <c r="K323" s="152"/>
      <c r="L323" s="123"/>
      <c r="M323" s="153"/>
    </row>
    <row r="324" spans="1:13" ht="13.9" customHeight="1" x14ac:dyDescent="0.25">
      <c r="A324" s="136" t="str">
        <f>патриотика!A285</f>
        <v>вилка белая</v>
      </c>
      <c r="B324" s="88" t="s">
        <v>91</v>
      </c>
      <c r="C324" s="88">
        <v>5</v>
      </c>
      <c r="D324" s="181">
        <f>PRODUCT(Лист1!G42,$A$260)</f>
        <v>1.052</v>
      </c>
      <c r="E324" s="342">
        <f>Лист1!H42</f>
        <v>90</v>
      </c>
      <c r="F324" s="459">
        <f t="shared" si="15"/>
        <v>94.68</v>
      </c>
      <c r="G324" s="179"/>
      <c r="H324" s="7"/>
      <c r="I324" s="7"/>
      <c r="J324" s="7"/>
      <c r="K324" s="152"/>
      <c r="L324" s="123"/>
      <c r="M324" s="153"/>
    </row>
    <row r="325" spans="1:13" ht="19.899999999999999" customHeight="1" x14ac:dyDescent="0.25">
      <c r="A325" s="136" t="str">
        <f>патриотика!A286</f>
        <v>саморез 3,5*51</v>
      </c>
      <c r="B325" s="88" t="s">
        <v>91</v>
      </c>
      <c r="C325" s="88">
        <v>6</v>
      </c>
      <c r="D325" s="181">
        <f>PRODUCT(Лист1!G43,$A$260)</f>
        <v>191.99</v>
      </c>
      <c r="E325" s="342">
        <f>Лист1!H43</f>
        <v>1</v>
      </c>
      <c r="F325" s="459">
        <f t="shared" si="15"/>
        <v>191.99</v>
      </c>
      <c r="G325" s="179"/>
      <c r="H325" s="7"/>
      <c r="I325" s="7"/>
      <c r="J325" s="7"/>
      <c r="K325" s="152"/>
      <c r="L325" s="123"/>
      <c r="M325" s="153"/>
    </row>
    <row r="326" spans="1:13" ht="16.899999999999999" customHeight="1" x14ac:dyDescent="0.25">
      <c r="A326" s="136" t="str">
        <f>патриотика!A287</f>
        <v>саморез 4,2*70</v>
      </c>
      <c r="B326" s="88" t="s">
        <v>91</v>
      </c>
      <c r="C326" s="88">
        <v>7</v>
      </c>
      <c r="D326" s="181">
        <f>PRODUCT(Лист1!G44,$A$260)</f>
        <v>236.70000000000002</v>
      </c>
      <c r="E326" s="342">
        <f>Лист1!H44</f>
        <v>1.5</v>
      </c>
      <c r="F326" s="459">
        <f t="shared" si="15"/>
        <v>355.05</v>
      </c>
      <c r="G326" s="179"/>
      <c r="H326" s="7"/>
      <c r="I326" s="7"/>
      <c r="J326" s="7"/>
      <c r="K326" s="152"/>
      <c r="L326" s="123"/>
      <c r="M326" s="153"/>
    </row>
    <row r="327" spans="1:13" ht="15.75" x14ac:dyDescent="0.25">
      <c r="A327" s="136" t="str">
        <f>патриотика!A288</f>
        <v>набор пилок</v>
      </c>
      <c r="B327" s="88" t="s">
        <v>91</v>
      </c>
      <c r="C327" s="88">
        <v>8</v>
      </c>
      <c r="D327" s="181">
        <f>PRODUCT(Лист1!G45,$A$260)</f>
        <v>0.78900000000000003</v>
      </c>
      <c r="E327" s="342">
        <f>Лист1!H45</f>
        <v>200</v>
      </c>
      <c r="F327" s="459">
        <f t="shared" si="15"/>
        <v>157.80000000000001</v>
      </c>
      <c r="G327" s="179"/>
      <c r="H327" s="7"/>
      <c r="I327" s="7"/>
      <c r="J327" s="7"/>
      <c r="K327" s="152"/>
      <c r="L327" s="123"/>
      <c r="M327" s="153"/>
    </row>
    <row r="328" spans="1:13" ht="15.75" x14ac:dyDescent="0.25">
      <c r="A328" s="136" t="str">
        <f>патриотика!A289</f>
        <v>комплект радиатора</v>
      </c>
      <c r="B328" s="88" t="s">
        <v>91</v>
      </c>
      <c r="C328" s="88">
        <v>9</v>
      </c>
      <c r="D328" s="181">
        <f>PRODUCT(Лист1!G46,$A$260)</f>
        <v>2.63</v>
      </c>
      <c r="E328" s="342">
        <f>Лист1!H46</f>
        <v>279</v>
      </c>
      <c r="F328" s="459">
        <f t="shared" si="15"/>
        <v>733.77</v>
      </c>
      <c r="G328" s="179"/>
      <c r="H328" s="7"/>
      <c r="I328" s="7"/>
      <c r="J328" s="7"/>
      <c r="K328" s="152"/>
      <c r="L328" s="123"/>
      <c r="M328" s="153"/>
    </row>
    <row r="329" spans="1:13" ht="15.75" x14ac:dyDescent="0.25">
      <c r="A329" s="136" t="str">
        <f>патриотика!A290</f>
        <v>кран шаровый</v>
      </c>
      <c r="B329" s="88" t="s">
        <v>91</v>
      </c>
      <c r="C329" s="88">
        <v>10</v>
      </c>
      <c r="D329" s="181">
        <f>PRODUCT(Лист1!G47,$A$260)</f>
        <v>5.26</v>
      </c>
      <c r="E329" s="342">
        <f>Лист1!H47</f>
        <v>950</v>
      </c>
      <c r="F329" s="459">
        <f t="shared" si="15"/>
        <v>4997</v>
      </c>
      <c r="G329" s="179"/>
      <c r="H329" s="7"/>
      <c r="I329" s="7"/>
      <c r="J329" s="7"/>
      <c r="K329" s="152"/>
      <c r="L329" s="123"/>
      <c r="M329" s="153"/>
    </row>
    <row r="330" spans="1:13" ht="15.75" x14ac:dyDescent="0.25">
      <c r="A330" s="136" t="str">
        <f>патриотика!A291</f>
        <v>Лопата</v>
      </c>
      <c r="B330" s="88" t="s">
        <v>91</v>
      </c>
      <c r="C330" s="88">
        <v>11</v>
      </c>
      <c r="D330" s="181">
        <f>PRODUCT(Лист1!G48,$A$260)</f>
        <v>0.26300000000000001</v>
      </c>
      <c r="E330" s="342">
        <f>Лист1!H48</f>
        <v>1430</v>
      </c>
      <c r="F330" s="459">
        <f t="shared" si="15"/>
        <v>376.09000000000003</v>
      </c>
      <c r="G330" s="179"/>
      <c r="H330" s="7"/>
      <c r="I330" s="7"/>
      <c r="J330" s="7"/>
      <c r="K330" s="152"/>
      <c r="L330" s="123"/>
      <c r="M330" s="153"/>
    </row>
    <row r="331" spans="1:13" ht="15.75" x14ac:dyDescent="0.25">
      <c r="A331" s="136" t="str">
        <f>патриотика!A292</f>
        <v>Пружина</v>
      </c>
      <c r="B331" s="88" t="s">
        <v>91</v>
      </c>
      <c r="C331" s="88">
        <v>12</v>
      </c>
      <c r="D331" s="181">
        <f>PRODUCT(Лист1!G49,$A$260)</f>
        <v>6.5750000000000002</v>
      </c>
      <c r="E331" s="342">
        <f>Лист1!H49</f>
        <v>55</v>
      </c>
      <c r="F331" s="459">
        <f t="shared" si="15"/>
        <v>361.625</v>
      </c>
      <c r="G331" s="179"/>
      <c r="H331" s="7"/>
      <c r="I331" s="7"/>
      <c r="J331" s="7"/>
      <c r="K331" s="152"/>
      <c r="L331" s="123"/>
      <c r="M331" s="153"/>
    </row>
    <row r="332" spans="1:13" ht="15.75" x14ac:dyDescent="0.25">
      <c r="A332" s="136" t="str">
        <f>патриотика!A293</f>
        <v>смазка, мешки д/мусора, манжета</v>
      </c>
      <c r="B332" s="88" t="s">
        <v>91</v>
      </c>
      <c r="C332" s="88">
        <v>13</v>
      </c>
      <c r="D332" s="181">
        <f>PRODUCT(Лист1!G50,$A$260)</f>
        <v>0.26300000000000001</v>
      </c>
      <c r="E332" s="342">
        <f>Лист1!H50</f>
        <v>6207</v>
      </c>
      <c r="F332" s="459">
        <f t="shared" si="15"/>
        <v>1632.441</v>
      </c>
      <c r="G332" s="179"/>
      <c r="H332" s="7"/>
      <c r="I332" s="7"/>
      <c r="J332" s="7"/>
      <c r="K332" s="152"/>
      <c r="L332" s="123"/>
      <c r="M332" s="153"/>
    </row>
    <row r="333" spans="1:13" ht="15.75" x14ac:dyDescent="0.25">
      <c r="A333" s="136" t="str">
        <f>патриотика!A294</f>
        <v>ГСМ Дизтопливо</v>
      </c>
      <c r="B333" s="88" t="s">
        <v>91</v>
      </c>
      <c r="C333" s="88">
        <v>14</v>
      </c>
      <c r="D333" s="181">
        <f>PRODUCT(Лист1!G51,$A$260)</f>
        <v>0.26300000000000001</v>
      </c>
      <c r="E333" s="342">
        <f>Лист1!H51</f>
        <v>6200</v>
      </c>
      <c r="F333" s="459">
        <f t="shared" si="15"/>
        <v>1630.6000000000001</v>
      </c>
      <c r="G333" s="179"/>
      <c r="H333" s="7"/>
      <c r="I333" s="7"/>
      <c r="J333" s="7"/>
      <c r="K333" s="152"/>
      <c r="L333" s="123"/>
      <c r="M333" s="153"/>
    </row>
    <row r="334" spans="1:13" ht="15.75" x14ac:dyDescent="0.25">
      <c r="A334" s="136" t="str">
        <f>патриотика!A295</f>
        <v>ГСМ 12,1457л.*247дней*44,27 руб.</v>
      </c>
      <c r="B334" s="88" t="s">
        <v>91</v>
      </c>
      <c r="C334" s="88">
        <v>15</v>
      </c>
      <c r="D334" s="181">
        <f>PRODUCT(Лист1!G52,$A$260)</f>
        <v>18.448923999999998</v>
      </c>
      <c r="E334" s="342">
        <f>Лист1!H52</f>
        <v>50</v>
      </c>
      <c r="F334" s="459">
        <f t="shared" si="15"/>
        <v>922.44619999999986</v>
      </c>
      <c r="G334" s="179"/>
      <c r="H334" s="7"/>
      <c r="I334" s="7"/>
      <c r="J334" s="7"/>
      <c r="K334" s="152"/>
      <c r="L334" s="123"/>
      <c r="M334" s="153"/>
    </row>
    <row r="335" spans="1:13" ht="15.75" x14ac:dyDescent="0.25">
      <c r="A335" s="136" t="str">
        <f>патриотика!A296</f>
        <v>грабли, черенок, лопата</v>
      </c>
      <c r="B335" s="88" t="s">
        <v>91</v>
      </c>
      <c r="C335" s="88">
        <v>16</v>
      </c>
      <c r="D335" s="181">
        <f>PRODUCT(Лист1!G53,$A$260)</f>
        <v>0.26300000000000001</v>
      </c>
      <c r="E335" s="342">
        <f>Лист1!H53</f>
        <v>9100</v>
      </c>
      <c r="F335" s="459">
        <f t="shared" ref="F335:F398" si="18">D335*E335</f>
        <v>2393.3000000000002</v>
      </c>
      <c r="G335" s="179"/>
      <c r="H335" s="7"/>
      <c r="I335" s="7"/>
      <c r="J335" s="7"/>
      <c r="K335" s="152"/>
      <c r="L335" s="123"/>
      <c r="M335" s="153"/>
    </row>
    <row r="336" spans="1:13" ht="15.75" x14ac:dyDescent="0.25">
      <c r="A336" s="136" t="str">
        <f>патриотика!A297</f>
        <v>Чехол для кресла-мешка</v>
      </c>
      <c r="B336" s="88" t="s">
        <v>91</v>
      </c>
      <c r="C336" s="88">
        <v>17</v>
      </c>
      <c r="D336" s="181">
        <f>PRODUCT(Лист1!G54,$A$260)</f>
        <v>1.5780000000000001</v>
      </c>
      <c r="E336" s="342">
        <f>Лист1!H54</f>
        <v>2000</v>
      </c>
      <c r="F336" s="459">
        <f t="shared" si="18"/>
        <v>3156</v>
      </c>
      <c r="G336" s="179"/>
      <c r="H336" s="7"/>
      <c r="I336" s="7"/>
      <c r="J336" s="7"/>
      <c r="K336" s="152"/>
      <c r="L336" s="123"/>
      <c r="M336" s="153"/>
    </row>
    <row r="337" spans="1:13" ht="15.75" x14ac:dyDescent="0.25">
      <c r="A337" s="136" t="str">
        <f>патриотика!A298</f>
        <v>Наполнитель для кресла-мешка</v>
      </c>
      <c r="B337" s="88" t="s">
        <v>91</v>
      </c>
      <c r="C337" s="88">
        <v>18</v>
      </c>
      <c r="D337" s="181">
        <f>PRODUCT(Лист1!G55,$A$260)</f>
        <v>0.52600000000000002</v>
      </c>
      <c r="E337" s="342">
        <f>Лист1!H55</f>
        <v>1500</v>
      </c>
      <c r="F337" s="459">
        <f t="shared" si="18"/>
        <v>789</v>
      </c>
      <c r="G337" s="179"/>
      <c r="H337" s="7"/>
      <c r="I337" s="7"/>
      <c r="J337" s="7"/>
      <c r="K337" s="152"/>
      <c r="L337" s="123"/>
      <c r="M337" s="153"/>
    </row>
    <row r="338" spans="1:13" ht="15.75" x14ac:dyDescent="0.25">
      <c r="A338" s="136" t="str">
        <f>патриотика!A299</f>
        <v>Фотобумага IST глянцевая 100 листов односторонняя 230гр/м</v>
      </c>
      <c r="B338" s="88" t="s">
        <v>91</v>
      </c>
      <c r="C338" s="88">
        <v>19</v>
      </c>
      <c r="D338" s="181">
        <f>PRODUCT(Лист1!G56,$A$260)</f>
        <v>2.63</v>
      </c>
      <c r="E338" s="342">
        <f>Лист1!H56</f>
        <v>900</v>
      </c>
      <c r="F338" s="459">
        <f t="shared" si="18"/>
        <v>2367</v>
      </c>
      <c r="G338" s="179"/>
      <c r="H338" s="7"/>
      <c r="I338" s="7"/>
      <c r="J338" s="7"/>
      <c r="K338" s="152"/>
      <c r="L338" s="123"/>
      <c r="M338" s="153"/>
    </row>
    <row r="339" spans="1:13" ht="15.75" x14ac:dyDescent="0.25">
      <c r="A339" s="136" t="str">
        <f>патриотика!A300</f>
        <v>Фотобумага IST глянцевая 100 листов односторонняя 180гр/м</v>
      </c>
      <c r="B339" s="88" t="s">
        <v>91</v>
      </c>
      <c r="C339" s="88">
        <v>20</v>
      </c>
      <c r="D339" s="181">
        <f>PRODUCT(Лист1!G57,$A$260)</f>
        <v>2.63</v>
      </c>
      <c r="E339" s="342">
        <f>Лист1!H57</f>
        <v>700</v>
      </c>
      <c r="F339" s="459">
        <f t="shared" si="18"/>
        <v>1841</v>
      </c>
      <c r="G339" s="179"/>
      <c r="H339" s="7"/>
      <c r="I339" s="7"/>
      <c r="J339" s="7"/>
      <c r="K339" s="152"/>
      <c r="L339" s="123"/>
      <c r="M339" s="153"/>
    </row>
    <row r="340" spans="1:13" ht="15.75" x14ac:dyDescent="0.25">
      <c r="A340" s="136" t="str">
        <f>патриотика!A301</f>
        <v>Фотобумага IST глянцевая 100 листов односторонняя 190гр/м</v>
      </c>
      <c r="B340" s="88" t="s">
        <v>91</v>
      </c>
      <c r="C340" s="88">
        <v>21</v>
      </c>
      <c r="D340" s="181">
        <f>PRODUCT(Лист1!G58,$A$260)</f>
        <v>5.26</v>
      </c>
      <c r="E340" s="342">
        <f>Лист1!H58</f>
        <v>350</v>
      </c>
      <c r="F340" s="459">
        <f t="shared" si="18"/>
        <v>1841</v>
      </c>
      <c r="G340" s="179"/>
      <c r="H340" s="7"/>
      <c r="I340" s="7"/>
      <c r="J340" s="7"/>
      <c r="K340" s="152"/>
      <c r="L340" s="123"/>
      <c r="M340" s="153"/>
    </row>
    <row r="341" spans="1:13" ht="15.75" x14ac:dyDescent="0.25">
      <c r="A341" s="136" t="str">
        <f>патриотика!A302</f>
        <v>Тонер ECOSYS</v>
      </c>
      <c r="B341" s="88" t="s">
        <v>91</v>
      </c>
      <c r="C341" s="88">
        <v>22</v>
      </c>
      <c r="D341" s="181">
        <f>PRODUCT(Лист1!G59,$A$260)</f>
        <v>0.52600000000000002</v>
      </c>
      <c r="E341" s="342">
        <f>Лист1!H59</f>
        <v>1500</v>
      </c>
      <c r="F341" s="459">
        <f t="shared" si="18"/>
        <v>789</v>
      </c>
      <c r="G341" s="179"/>
      <c r="H341" s="7"/>
      <c r="I341" s="7"/>
      <c r="J341" s="7"/>
      <c r="K341" s="152"/>
      <c r="L341" s="123"/>
      <c r="M341" s="153"/>
    </row>
    <row r="342" spans="1:13" ht="15.75" x14ac:dyDescent="0.25">
      <c r="A342" s="136" t="str">
        <f>патриотика!A303</f>
        <v>Картридж НР С2Р42АЕ</v>
      </c>
      <c r="B342" s="88" t="s">
        <v>91</v>
      </c>
      <c r="C342" s="88">
        <v>23</v>
      </c>
      <c r="D342" s="181">
        <f>PRODUCT(Лист1!G60,$A$260)</f>
        <v>0.52600000000000002</v>
      </c>
      <c r="E342" s="342">
        <f>Лист1!H60</f>
        <v>4800</v>
      </c>
      <c r="F342" s="459">
        <f t="shared" si="18"/>
        <v>2524.8000000000002</v>
      </c>
      <c r="G342" s="179"/>
      <c r="H342" s="7"/>
      <c r="I342" s="7"/>
      <c r="J342" s="7"/>
      <c r="K342" s="152"/>
      <c r="L342" s="123"/>
      <c r="M342" s="153"/>
    </row>
    <row r="343" spans="1:13" ht="15.75" x14ac:dyDescent="0.25">
      <c r="A343" s="136" t="str">
        <f>патриотика!A304</f>
        <v>Аккумулятор X-TREME Arctik  78.1</v>
      </c>
      <c r="B343" s="88" t="s">
        <v>91</v>
      </c>
      <c r="C343" s="88">
        <v>24</v>
      </c>
      <c r="D343" s="181">
        <f>PRODUCT(Лист1!G61,$A$260)</f>
        <v>0.26300000000000001</v>
      </c>
      <c r="E343" s="342">
        <f>Лист1!H61</f>
        <v>6900</v>
      </c>
      <c r="F343" s="459">
        <f t="shared" si="18"/>
        <v>1814.7</v>
      </c>
      <c r="G343" s="179"/>
      <c r="H343" s="7"/>
      <c r="I343" s="7"/>
      <c r="J343" s="7"/>
      <c r="K343" s="152"/>
      <c r="L343" s="123"/>
      <c r="M343" s="153"/>
    </row>
    <row r="344" spans="1:13" ht="30" x14ac:dyDescent="0.25">
      <c r="A344" s="136" t="str">
        <f>патриотика!A305</f>
        <v>Амортизатор УАЗ 3159 задн. TRIALLI газомасл.3159-2915006 (3159-2915006)</v>
      </c>
      <c r="B344" s="88" t="s">
        <v>91</v>
      </c>
      <c r="C344" s="88">
        <v>25</v>
      </c>
      <c r="D344" s="181">
        <f>PRODUCT(Лист1!G62,$A$260)</f>
        <v>1.052</v>
      </c>
      <c r="E344" s="342">
        <f>Лист1!H62</f>
        <v>1560</v>
      </c>
      <c r="F344" s="459">
        <f t="shared" si="18"/>
        <v>1641.1200000000001</v>
      </c>
      <c r="G344" s="179"/>
      <c r="H344" s="7"/>
      <c r="I344" s="7"/>
      <c r="J344" s="7"/>
      <c r="K344" s="152"/>
      <c r="L344" s="123"/>
      <c r="M344" s="153"/>
    </row>
    <row r="345" spans="1:13" ht="15.75" x14ac:dyDescent="0.25">
      <c r="A345" s="136" t="str">
        <f>патриотика!A306</f>
        <v>Болт М10*1*25 кардана УАЗ в/сб(уп. 20 шт)</v>
      </c>
      <c r="B345" s="88" t="s">
        <v>91</v>
      </c>
      <c r="C345" s="88">
        <v>26</v>
      </c>
      <c r="D345" s="181">
        <f>PRODUCT(Лист1!G63,$A$260)</f>
        <v>4.2080000000000002</v>
      </c>
      <c r="E345" s="342">
        <f>Лист1!H63</f>
        <v>20</v>
      </c>
      <c r="F345" s="459">
        <f t="shared" si="18"/>
        <v>84.16</v>
      </c>
      <c r="G345" s="179"/>
      <c r="H345" s="7"/>
      <c r="I345" s="7"/>
      <c r="J345" s="7"/>
      <c r="K345" s="152"/>
      <c r="L345" s="123"/>
      <c r="M345" s="153"/>
    </row>
    <row r="346" spans="1:13" ht="30" x14ac:dyDescent="0.25">
      <c r="A346" s="136" t="str">
        <f>патриотика!A307</f>
        <v>Винт М8*1,25*12 потай шлиц.торм.барабана Волга Г-2410 290605 (290605-п29)</v>
      </c>
      <c r="B346" s="88" t="s">
        <v>91</v>
      </c>
      <c r="C346" s="88">
        <v>27</v>
      </c>
      <c r="D346" s="181">
        <f>PRODUCT(Лист1!G64,$A$260)</f>
        <v>6.3120000000000003</v>
      </c>
      <c r="E346" s="342">
        <f>Лист1!H64</f>
        <v>12</v>
      </c>
      <c r="F346" s="459">
        <f t="shared" si="18"/>
        <v>75.744</v>
      </c>
      <c r="G346" s="179"/>
      <c r="H346" s="7"/>
      <c r="I346" s="7"/>
      <c r="J346" s="7"/>
      <c r="K346" s="152"/>
      <c r="L346" s="123"/>
      <c r="M346" s="153"/>
    </row>
    <row r="347" spans="1:13" ht="30" x14ac:dyDescent="0.25">
      <c r="A347" s="136" t="str">
        <f>патриотика!A308</f>
        <v>Вкладыш шкворня УАЗ-3160(латунь н/о 2 усика)3160 2304023-10 (3160 2304023-10)</v>
      </c>
      <c r="B347" s="88" t="s">
        <v>91</v>
      </c>
      <c r="C347" s="88">
        <v>28</v>
      </c>
      <c r="D347" s="181">
        <f>PRODUCT(Лист1!G65,$A$260)</f>
        <v>2.1040000000000001</v>
      </c>
      <c r="E347" s="342">
        <f>Лист1!H65</f>
        <v>50</v>
      </c>
      <c r="F347" s="459">
        <f t="shared" si="18"/>
        <v>105.2</v>
      </c>
      <c r="G347" s="179"/>
      <c r="H347" s="7"/>
      <c r="I347" s="7"/>
      <c r="J347" s="7"/>
      <c r="K347" s="152"/>
      <c r="L347" s="123"/>
      <c r="M347" s="153"/>
    </row>
    <row r="348" spans="1:13" ht="15.75" x14ac:dyDescent="0.25">
      <c r="A348" s="136" t="str">
        <f>патриотика!A309</f>
        <v>Втулка амортизатора Волга ,УАЗ полиуретан 451-2905432 (451-2905432)</v>
      </c>
      <c r="B348" s="88" t="s">
        <v>91</v>
      </c>
      <c r="C348" s="88">
        <v>29</v>
      </c>
      <c r="D348" s="181">
        <f>PRODUCT(Лист1!G66,$A$260)</f>
        <v>5.26</v>
      </c>
      <c r="E348" s="342">
        <f>Лист1!H66</f>
        <v>36</v>
      </c>
      <c r="F348" s="459">
        <f t="shared" si="18"/>
        <v>189.35999999999999</v>
      </c>
      <c r="G348" s="179"/>
      <c r="H348" s="7"/>
      <c r="I348" s="7"/>
      <c r="J348" s="7"/>
      <c r="K348" s="152"/>
      <c r="L348" s="123"/>
      <c r="M348" s="153"/>
    </row>
    <row r="349" spans="1:13" ht="15.75" x14ac:dyDescent="0.25">
      <c r="A349" s="136" t="str">
        <f>патриотика!A310</f>
        <v>Гайка колесная  М14*1,5 (18, ключ 22) Волга, Соболь, УАЗ</v>
      </c>
      <c r="B349" s="88" t="s">
        <v>91</v>
      </c>
      <c r="C349" s="88">
        <v>30</v>
      </c>
      <c r="D349" s="181">
        <f>PRODUCT(Лист1!G67,$A$260)</f>
        <v>5.26</v>
      </c>
      <c r="E349" s="342">
        <f>Лист1!H67</f>
        <v>18</v>
      </c>
      <c r="F349" s="459">
        <f t="shared" si="18"/>
        <v>94.679999999999993</v>
      </c>
      <c r="G349" s="179"/>
      <c r="H349" s="7"/>
      <c r="I349" s="7"/>
      <c r="J349" s="7"/>
      <c r="K349" s="152"/>
      <c r="L349" s="123"/>
      <c r="M349" s="153"/>
    </row>
    <row r="350" spans="1:13" ht="15.75" x14ac:dyDescent="0.25">
      <c r="A350" s="136" t="str">
        <f>патриотика!A311</f>
        <v>Катушка зажигания 405 дв.(АТЭ-1)3032.3705 (3032.3705)</v>
      </c>
      <c r="B350" s="88" t="s">
        <v>91</v>
      </c>
      <c r="C350" s="88">
        <v>31</v>
      </c>
      <c r="D350" s="181">
        <f>PRODUCT(Лист1!G68,$A$260)</f>
        <v>1.052</v>
      </c>
      <c r="E350" s="342">
        <f>Лист1!H68</f>
        <v>875</v>
      </c>
      <c r="F350" s="459">
        <f t="shared" si="18"/>
        <v>920.5</v>
      </c>
      <c r="G350" s="179"/>
      <c r="H350" s="7"/>
      <c r="I350" s="7"/>
      <c r="J350" s="7"/>
      <c r="K350" s="152"/>
      <c r="L350" s="123"/>
      <c r="M350" s="153"/>
    </row>
    <row r="351" spans="1:13" ht="30" x14ac:dyDescent="0.25">
      <c r="A351" s="136" t="str">
        <f>патриотика!A312</f>
        <v>Колодка переднего тормоза (к-т 4 шт.)УАЗ Оригинал(ТИИР) 3163 3501088 (3163 3501088)</v>
      </c>
      <c r="B351" s="88" t="s">
        <v>91</v>
      </c>
      <c r="C351" s="88">
        <v>32</v>
      </c>
      <c r="D351" s="181">
        <f>PRODUCT(Лист1!G69,$A$260)</f>
        <v>1.052</v>
      </c>
      <c r="E351" s="342">
        <f>Лист1!H69</f>
        <v>672</v>
      </c>
      <c r="F351" s="459">
        <f t="shared" si="18"/>
        <v>706.94400000000007</v>
      </c>
      <c r="G351" s="179"/>
      <c r="H351" s="7"/>
      <c r="I351" s="7"/>
      <c r="J351" s="7"/>
      <c r="K351" s="152"/>
      <c r="L351" s="123"/>
      <c r="M351" s="153"/>
    </row>
    <row r="352" spans="1:13" ht="15.75" x14ac:dyDescent="0.25">
      <c r="A352" s="136" t="str">
        <f>патриотика!A313</f>
        <v>Кольцо крестовины карданного вала</v>
      </c>
      <c r="B352" s="88" t="s">
        <v>91</v>
      </c>
      <c r="C352" s="88">
        <v>33</v>
      </c>
      <c r="D352" s="181">
        <f>PRODUCT(Лист1!G70,$A$260)</f>
        <v>2.1040000000000001</v>
      </c>
      <c r="E352" s="342">
        <f>Лист1!H70</f>
        <v>10</v>
      </c>
      <c r="F352" s="459">
        <f t="shared" si="18"/>
        <v>21.04</v>
      </c>
      <c r="G352" s="179"/>
      <c r="H352" s="7"/>
      <c r="I352" s="7"/>
      <c r="J352" s="7"/>
      <c r="K352" s="152"/>
      <c r="L352" s="123"/>
      <c r="M352" s="153"/>
    </row>
    <row r="353" spans="1:13" ht="30" x14ac:dyDescent="0.25">
      <c r="A353" s="136" t="str">
        <f>патриотика!A314</f>
        <v>Комплект ГРМ(полный)ЗМЗ 405-409 ЕВРО-3 "Идеальная фаза"(двухрядная цепь 72/92 Ditton)406.3906625-05 (406.3906625-05)</v>
      </c>
      <c r="B353" s="88" t="s">
        <v>91</v>
      </c>
      <c r="C353" s="88">
        <v>34</v>
      </c>
      <c r="D353" s="181">
        <f>PRODUCT(Лист1!G71,$A$260)</f>
        <v>0.26300000000000001</v>
      </c>
      <c r="E353" s="342">
        <f>Лист1!H71</f>
        <v>6377</v>
      </c>
      <c r="F353" s="459">
        <f t="shared" si="18"/>
        <v>1677.1510000000001</v>
      </c>
      <c r="G353" s="179"/>
      <c r="H353" s="7"/>
      <c r="I353" s="7"/>
      <c r="J353" s="7"/>
      <c r="K353" s="152"/>
      <c r="L353" s="123"/>
      <c r="M353" s="153"/>
    </row>
    <row r="354" spans="1:13" ht="15.75" x14ac:dyDescent="0.25">
      <c r="A354" s="136" t="str">
        <f>патриотика!A315</f>
        <v>Комплект прокладок на дв.4091 Саморим УАЗ 452</v>
      </c>
      <c r="B354" s="88" t="s">
        <v>91</v>
      </c>
      <c r="C354" s="88">
        <v>35</v>
      </c>
      <c r="D354" s="181">
        <f>PRODUCT(Лист1!G72,$A$260)</f>
        <v>0.26300000000000001</v>
      </c>
      <c r="E354" s="342">
        <f>Лист1!H72</f>
        <v>1037</v>
      </c>
      <c r="F354" s="459">
        <f t="shared" si="18"/>
        <v>272.73099999999999</v>
      </c>
      <c r="G354" s="179"/>
      <c r="H354" s="7"/>
      <c r="I354" s="7"/>
      <c r="J354" s="7"/>
      <c r="K354" s="152"/>
      <c r="L354" s="123"/>
      <c r="M354" s="153"/>
    </row>
    <row r="355" spans="1:13" ht="30" x14ac:dyDescent="0.25">
      <c r="A355" s="136" t="str">
        <f>патриотика!A316</f>
        <v>Крестовина кардан.вала УАЗ(АДС)с масленкой и стопорными кольцами 42000.0469-2201025-00 (ВК469-2201025)</v>
      </c>
      <c r="B355" s="88" t="s">
        <v>91</v>
      </c>
      <c r="C355" s="88">
        <v>36</v>
      </c>
      <c r="D355" s="181">
        <f>PRODUCT(Лист1!G73,$A$260)</f>
        <v>1.052</v>
      </c>
      <c r="E355" s="342">
        <f>Лист1!H73</f>
        <v>570</v>
      </c>
      <c r="F355" s="459">
        <f t="shared" si="18"/>
        <v>599.64</v>
      </c>
      <c r="G355" s="179"/>
      <c r="H355" s="7"/>
      <c r="I355" s="7"/>
      <c r="J355" s="7"/>
      <c r="K355" s="152"/>
      <c r="L355" s="123"/>
      <c r="M355" s="153"/>
    </row>
    <row r="356" spans="1:13" ht="15.75" x14ac:dyDescent="0.25">
      <c r="A356" s="136" t="str">
        <f>патриотика!A317</f>
        <v>Накладка педали сцепления УАЗ 2206</v>
      </c>
      <c r="B356" s="88" t="s">
        <v>91</v>
      </c>
      <c r="C356" s="88">
        <v>37</v>
      </c>
      <c r="D356" s="181">
        <f>PRODUCT(Лист1!G74,$A$260)</f>
        <v>0.26300000000000001</v>
      </c>
      <c r="E356" s="342">
        <f>Лист1!H74</f>
        <v>29</v>
      </c>
      <c r="F356" s="459">
        <f t="shared" si="18"/>
        <v>7.6270000000000007</v>
      </c>
      <c r="G356" s="179"/>
      <c r="H356" s="7"/>
      <c r="I356" s="7"/>
      <c r="J356" s="7"/>
      <c r="K356" s="152"/>
      <c r="L356" s="123"/>
      <c r="M356" s="153"/>
    </row>
    <row r="357" spans="1:13" ht="30" x14ac:dyDescent="0.25">
      <c r="A357" s="136" t="str">
        <f>патриотика!A318</f>
        <v>Наконечник рулевой тяги левый "АДС-Expert" 469-3414057-01 (469-3414057-01)</v>
      </c>
      <c r="B357" s="88" t="s">
        <v>91</v>
      </c>
      <c r="C357" s="88">
        <v>38</v>
      </c>
      <c r="D357" s="181">
        <f>PRODUCT(Лист1!G75,$A$260)</f>
        <v>0.52600000000000002</v>
      </c>
      <c r="E357" s="342">
        <f>Лист1!H75</f>
        <v>450</v>
      </c>
      <c r="F357" s="459">
        <f t="shared" si="18"/>
        <v>236.70000000000002</v>
      </c>
      <c r="G357" s="179"/>
      <c r="H357" s="7"/>
      <c r="I357" s="7"/>
      <c r="J357" s="7"/>
      <c r="K357" s="152"/>
      <c r="L357" s="123"/>
      <c r="M357" s="153"/>
    </row>
    <row r="358" spans="1:13" ht="30" x14ac:dyDescent="0.25">
      <c r="A358" s="136" t="str">
        <f>патриотика!A319</f>
        <v>Наконечник рулевой тяги правый "АДС-Expert" 469-3414056-01 (469-3414056-01)</v>
      </c>
      <c r="B358" s="88" t="s">
        <v>91</v>
      </c>
      <c r="C358" s="88">
        <v>39</v>
      </c>
      <c r="D358" s="181">
        <f>PRODUCT(Лист1!G76,$A$260)</f>
        <v>1.5780000000000001</v>
      </c>
      <c r="E358" s="342">
        <f>Лист1!H76</f>
        <v>450</v>
      </c>
      <c r="F358" s="459">
        <f t="shared" si="18"/>
        <v>710.1</v>
      </c>
      <c r="G358" s="179"/>
      <c r="H358" s="7"/>
      <c r="I358" s="7"/>
      <c r="J358" s="7"/>
      <c r="K358" s="152"/>
      <c r="L358" s="123"/>
      <c r="M358" s="153"/>
    </row>
    <row r="359" spans="1:13" ht="30" x14ac:dyDescent="0.25">
      <c r="A359" s="136" t="str">
        <f>патриотика!A320</f>
        <v>Патрубки радиатора УАЗ Патриот 409дв.без кондиционера(силикон)(к-т 3шт)</v>
      </c>
      <c r="B359" s="88" t="s">
        <v>91</v>
      </c>
      <c r="C359" s="88">
        <v>40</v>
      </c>
      <c r="D359" s="181">
        <f>PRODUCT(Лист1!G77,$A$260)</f>
        <v>0.26300000000000001</v>
      </c>
      <c r="E359" s="342">
        <f>Лист1!H77</f>
        <v>1920</v>
      </c>
      <c r="F359" s="459">
        <f t="shared" si="18"/>
        <v>504.96000000000004</v>
      </c>
      <c r="G359" s="179"/>
      <c r="H359" s="7"/>
      <c r="I359" s="7"/>
      <c r="J359" s="7"/>
      <c r="K359" s="152"/>
      <c r="L359" s="123"/>
      <c r="M359" s="153"/>
    </row>
    <row r="360" spans="1:13" ht="15.75" x14ac:dyDescent="0.25">
      <c r="A360" s="136" t="str">
        <f>патриотика!A321</f>
        <v>Подшипник ступичный 127509</v>
      </c>
      <c r="B360" s="88" t="s">
        <v>91</v>
      </c>
      <c r="C360" s="88">
        <v>41</v>
      </c>
      <c r="D360" s="181">
        <f>PRODUCT(Лист1!G78,$A$260)</f>
        <v>2.1040000000000001</v>
      </c>
      <c r="E360" s="342">
        <f>Лист1!H78</f>
        <v>592</v>
      </c>
      <c r="F360" s="459">
        <f t="shared" si="18"/>
        <v>1245.568</v>
      </c>
      <c r="G360" s="179"/>
      <c r="H360" s="7"/>
      <c r="I360" s="7"/>
      <c r="J360" s="7"/>
      <c r="K360" s="152"/>
      <c r="L360" s="123"/>
      <c r="M360" s="153"/>
    </row>
    <row r="361" spans="1:13" ht="15.75" x14ac:dyDescent="0.25">
      <c r="A361" s="136" t="str">
        <f>патриотика!A322</f>
        <v>Провода в/в 4091 дв.с наконеч.силикон.4091-3707244 (4091-3707244)</v>
      </c>
      <c r="B361" s="88" t="s">
        <v>91</v>
      </c>
      <c r="C361" s="88">
        <v>42</v>
      </c>
      <c r="D361" s="181">
        <f>PRODUCT(Лист1!G79,$A$260)</f>
        <v>0.52600000000000002</v>
      </c>
      <c r="E361" s="342">
        <f>Лист1!H79</f>
        <v>1025</v>
      </c>
      <c r="F361" s="459">
        <f t="shared" si="18"/>
        <v>539.15</v>
      </c>
      <c r="G361" s="179"/>
      <c r="H361" s="7"/>
      <c r="I361" s="7"/>
      <c r="J361" s="7"/>
      <c r="K361" s="152"/>
      <c r="L361" s="123"/>
      <c r="M361" s="153"/>
    </row>
    <row r="362" spans="1:13" ht="15.75" x14ac:dyDescent="0.25">
      <c r="A362" s="136" t="str">
        <f>патриотика!A323</f>
        <v>Прокладка крышки полуоси(паронит)3151-2407048 (3151-2407048)</v>
      </c>
      <c r="B362" s="88" t="s">
        <v>91</v>
      </c>
      <c r="C362" s="88">
        <v>43</v>
      </c>
      <c r="D362" s="181">
        <f>PRODUCT(Лист1!G80,$A$260)</f>
        <v>2.63</v>
      </c>
      <c r="E362" s="342">
        <f>Лист1!H80</f>
        <v>15</v>
      </c>
      <c r="F362" s="459">
        <f t="shared" si="18"/>
        <v>39.449999999999996</v>
      </c>
      <c r="G362" s="179"/>
      <c r="H362" s="7"/>
      <c r="I362" s="7"/>
      <c r="J362" s="7"/>
      <c r="K362" s="152"/>
      <c r="L362" s="123"/>
      <c r="M362" s="153"/>
    </row>
    <row r="363" spans="1:13" ht="30" x14ac:dyDescent="0.25">
      <c r="A363" s="136" t="str">
        <f>патриотика!A324</f>
        <v>Ремень (1275  мм 6РК) ЗМЗ-40524, 40525 ЕВРО -3 без ГУР "LUZAR" (40624 1308020-01)</v>
      </c>
      <c r="B363" s="88" t="s">
        <v>91</v>
      </c>
      <c r="C363" s="88">
        <v>44</v>
      </c>
      <c r="D363" s="181">
        <f>PRODUCT(Лист1!G81,$A$260)</f>
        <v>0.78900000000000003</v>
      </c>
      <c r="E363" s="342">
        <f>Лист1!H81</f>
        <v>467</v>
      </c>
      <c r="F363" s="459">
        <f t="shared" si="18"/>
        <v>368.46300000000002</v>
      </c>
      <c r="G363" s="179"/>
      <c r="H363" s="7"/>
      <c r="I363" s="7"/>
      <c r="J363" s="7"/>
      <c r="K363" s="152"/>
      <c r="L363" s="123"/>
      <c r="M363" s="153"/>
    </row>
    <row r="364" spans="1:13" ht="30" x14ac:dyDescent="0.25">
      <c r="A364" s="136" t="str">
        <f>патриотика!A325</f>
        <v>Ремень 1195 - 6 РК привода ГУР "OLEX POLY V BELT"3163-00-1308020-02 (3163-00-1308020-02)</v>
      </c>
      <c r="B364" s="88" t="s">
        <v>91</v>
      </c>
      <c r="C364" s="88">
        <v>45</v>
      </c>
      <c r="D364" s="181">
        <f>PRODUCT(Лист1!G82,$A$260)</f>
        <v>0.78900000000000003</v>
      </c>
      <c r="E364" s="342">
        <f>Лист1!H82</f>
        <v>285</v>
      </c>
      <c r="F364" s="459">
        <f t="shared" si="18"/>
        <v>224.86500000000001</v>
      </c>
      <c r="G364" s="179"/>
      <c r="H364" s="7"/>
      <c r="I364" s="7"/>
      <c r="J364" s="7"/>
      <c r="K364" s="152"/>
      <c r="L364" s="123"/>
      <c r="M364" s="153"/>
    </row>
    <row r="365" spans="1:13" ht="15.75" x14ac:dyDescent="0.25">
      <c r="A365" s="136" t="str">
        <f>патриотика!A326</f>
        <v>Ремень буксировочный 6/9т 6м (а/м до 3т)  Крюк/Крюк +сумка(олива) Tplus</v>
      </c>
      <c r="B365" s="88" t="s">
        <v>91</v>
      </c>
      <c r="C365" s="88">
        <v>46</v>
      </c>
      <c r="D365" s="181">
        <f>PRODUCT(Лист1!G83,$A$260)</f>
        <v>0.26300000000000001</v>
      </c>
      <c r="E365" s="342">
        <f>Лист1!H83</f>
        <v>1260</v>
      </c>
      <c r="F365" s="459">
        <f t="shared" si="18"/>
        <v>331.38</v>
      </c>
      <c r="G365" s="179"/>
      <c r="H365" s="7"/>
      <c r="I365" s="7"/>
      <c r="J365" s="7"/>
      <c r="K365" s="152"/>
      <c r="L365" s="123"/>
      <c r="M365" s="153"/>
    </row>
    <row r="366" spans="1:13" ht="30" x14ac:dyDescent="0.25">
      <c r="A366" s="136" t="str">
        <f>патриотика!A327</f>
        <v>Ремкомплект поворотного кулака УАЗ мост Спайсер с полиуретановым сальником 3160-2304052 (3160-2304052)</v>
      </c>
      <c r="B366" s="88" t="s">
        <v>91</v>
      </c>
      <c r="C366" s="88">
        <v>47</v>
      </c>
      <c r="D366" s="181">
        <f>PRODUCT(Лист1!G84,$A$260)</f>
        <v>1.052</v>
      </c>
      <c r="E366" s="342">
        <f>Лист1!H84</f>
        <v>191</v>
      </c>
      <c r="F366" s="459">
        <f t="shared" si="18"/>
        <v>200.93200000000002</v>
      </c>
      <c r="G366" s="179"/>
      <c r="H366" s="7"/>
      <c r="I366" s="7"/>
      <c r="J366" s="7"/>
      <c r="K366" s="152"/>
      <c r="L366" s="123"/>
      <c r="M366" s="153"/>
    </row>
    <row r="367" spans="1:13" ht="30" x14ac:dyDescent="0.25">
      <c r="A367" s="136" t="str">
        <f>патриотика!A328</f>
        <v>Ремкомплект шкворня УАЗ Хантер,Патриот мост Спайсер н/о(2 уса) с вкладышами)"Ваксойл"3163-230401 (3163-230401)</v>
      </c>
      <c r="B367" s="88" t="s">
        <v>91</v>
      </c>
      <c r="C367" s="88">
        <v>48</v>
      </c>
      <c r="D367" s="181">
        <f>PRODUCT(Лист1!G85,$A$260)</f>
        <v>0.52600000000000002</v>
      </c>
      <c r="E367" s="342">
        <f>Лист1!H85</f>
        <v>2845</v>
      </c>
      <c r="F367" s="459">
        <f t="shared" si="18"/>
        <v>1496.47</v>
      </c>
      <c r="G367" s="179"/>
      <c r="H367" s="7"/>
      <c r="I367" s="7"/>
      <c r="J367" s="7"/>
      <c r="K367" s="152"/>
      <c r="L367" s="123"/>
      <c r="M367" s="153"/>
    </row>
    <row r="368" spans="1:13" ht="30" x14ac:dyDescent="0.25">
      <c r="A368" s="136" t="str">
        <f>патриотика!A329</f>
        <v>Сайлентблок передней подвески УАЗ резинометаллический (малый) 3160-2909027 (3160-2909027)</v>
      </c>
      <c r="B368" s="88" t="s">
        <v>91</v>
      </c>
      <c r="C368" s="88">
        <v>49</v>
      </c>
      <c r="D368" s="181">
        <f>PRODUCT(Лист1!G86,$A$260)</f>
        <v>1.5780000000000001</v>
      </c>
      <c r="E368" s="342">
        <f>Лист1!H86</f>
        <v>405</v>
      </c>
      <c r="F368" s="459">
        <f t="shared" si="18"/>
        <v>639.09</v>
      </c>
      <c r="G368" s="179"/>
      <c r="H368" s="7"/>
      <c r="I368" s="7"/>
      <c r="J368" s="7"/>
      <c r="K368" s="152"/>
      <c r="L368" s="123"/>
      <c r="M368" s="153"/>
    </row>
    <row r="369" spans="1:13" ht="15.75" x14ac:dyDescent="0.25">
      <c r="A369" s="136" t="str">
        <f>патриотика!A330</f>
        <v>Сайлентблок рессоры УАЗ-Патриот 3163(завод)3163-2912020 (3163-2912020)</v>
      </c>
      <c r="B369" s="88" t="s">
        <v>91</v>
      </c>
      <c r="C369" s="88">
        <v>50</v>
      </c>
      <c r="D369" s="181">
        <f>PRODUCT(Лист1!G87,$A$260)</f>
        <v>2.1040000000000001</v>
      </c>
      <c r="E369" s="342">
        <f>Лист1!H87</f>
        <v>288</v>
      </c>
      <c r="F369" s="459">
        <f t="shared" si="18"/>
        <v>605.952</v>
      </c>
      <c r="G369" s="179"/>
      <c r="H369" s="7"/>
      <c r="I369" s="7"/>
      <c r="J369" s="7"/>
      <c r="K369" s="152"/>
      <c r="L369" s="123"/>
      <c r="M369" s="153"/>
    </row>
    <row r="370" spans="1:13" ht="30" x14ac:dyDescent="0.25">
      <c r="A370" s="136" t="str">
        <f>патриотика!A331</f>
        <v>Сальник (55х70х8) коленвала передний 406дв."Кортеко"(Германия)406.1005034-02 (406.1005034-02)</v>
      </c>
      <c r="B370" s="88" t="s">
        <v>91</v>
      </c>
      <c r="C370" s="88">
        <v>51</v>
      </c>
      <c r="D370" s="181">
        <f>PRODUCT(Лист1!G88,$A$260)</f>
        <v>0.52600000000000002</v>
      </c>
      <c r="E370" s="342">
        <f>Лист1!H88</f>
        <v>198</v>
      </c>
      <c r="F370" s="459">
        <f t="shared" si="18"/>
        <v>104.14800000000001</v>
      </c>
      <c r="G370" s="179"/>
      <c r="H370" s="7"/>
      <c r="I370" s="7"/>
      <c r="J370" s="7"/>
      <c r="K370" s="152"/>
      <c r="L370" s="123"/>
      <c r="M370" s="153"/>
    </row>
    <row r="371" spans="1:13" ht="12.75" customHeight="1" x14ac:dyDescent="0.25">
      <c r="A371" s="136" t="str">
        <f>патриотика!A332</f>
        <v>Сальник (60х85х10) ступицы  NAK International 3741-3103038 (3741-3103038)</v>
      </c>
      <c r="B371" s="88" t="s">
        <v>91</v>
      </c>
      <c r="C371" s="88">
        <v>52</v>
      </c>
      <c r="D371" s="181">
        <f>PRODUCT(Лист1!G89,$A$260)</f>
        <v>6.3120000000000003</v>
      </c>
      <c r="E371" s="342">
        <f>Лист1!H89</f>
        <v>192</v>
      </c>
      <c r="F371" s="459">
        <f t="shared" si="18"/>
        <v>1211.904</v>
      </c>
      <c r="G371" s="179"/>
      <c r="H371" s="7"/>
      <c r="I371" s="7"/>
      <c r="J371" s="7"/>
      <c r="K371" s="152"/>
      <c r="L371" s="123"/>
      <c r="M371" s="153"/>
    </row>
    <row r="372" spans="1:13" ht="15.75" x14ac:dyDescent="0.25">
      <c r="A372" s="136" t="str">
        <f>патриотика!A333</f>
        <v>Сальник к/вала задний 100л.с. 80х100х10(NAK intarnational)</v>
      </c>
      <c r="B372" s="88" t="s">
        <v>91</v>
      </c>
      <c r="C372" s="88">
        <v>53</v>
      </c>
      <c r="D372" s="181">
        <f>PRODUCT(Лист1!G90,$A$260)</f>
        <v>0.52600000000000002</v>
      </c>
      <c r="E372" s="342">
        <f>Лист1!H90</f>
        <v>187</v>
      </c>
      <c r="F372" s="459">
        <f t="shared" si="18"/>
        <v>98.362000000000009</v>
      </c>
      <c r="G372" s="179"/>
      <c r="H372" s="7"/>
      <c r="I372" s="7"/>
      <c r="J372" s="7"/>
      <c r="K372" s="152"/>
      <c r="L372" s="123"/>
      <c r="M372" s="153"/>
    </row>
    <row r="373" spans="1:13" ht="30" x14ac:dyDescent="0.25">
      <c r="A373" s="136" t="str">
        <f>патриотика!A334</f>
        <v>Сальник хвостовика 42х68х 10/14,5 усиленный "NAK"3741-00-1701210-03 (3741-00-1701210-03)</v>
      </c>
      <c r="B373" s="88" t="s">
        <v>91</v>
      </c>
      <c r="C373" s="88">
        <v>54</v>
      </c>
      <c r="D373" s="181">
        <f>PRODUCT(Лист1!G91,$A$260)</f>
        <v>2.1040000000000001</v>
      </c>
      <c r="E373" s="342">
        <f>Лист1!H91</f>
        <v>175</v>
      </c>
      <c r="F373" s="459">
        <f t="shared" si="18"/>
        <v>368.2</v>
      </c>
      <c r="G373" s="179"/>
      <c r="H373" s="7"/>
      <c r="I373" s="7"/>
      <c r="J373" s="7"/>
      <c r="K373" s="152"/>
      <c r="L373" s="123"/>
      <c r="M373" s="153"/>
    </row>
    <row r="374" spans="1:13" ht="30" x14ac:dyDescent="0.25">
      <c r="A374" s="136" t="str">
        <f>патриотика!A335</f>
        <v>Сальник шруса (в мет. обойме)(32х50х10)(19000078)3741-2304071 (3741-2304071)</v>
      </c>
      <c r="B374" s="88" t="s">
        <v>91</v>
      </c>
      <c r="C374" s="88">
        <v>55</v>
      </c>
      <c r="D374" s="181">
        <f>PRODUCT(Лист1!G92,$A$260)</f>
        <v>1.052</v>
      </c>
      <c r="E374" s="342">
        <f>Лист1!H92</f>
        <v>59</v>
      </c>
      <c r="F374" s="459">
        <f t="shared" si="18"/>
        <v>62.068000000000005</v>
      </c>
      <c r="G374" s="179"/>
      <c r="H374" s="7"/>
      <c r="I374" s="7"/>
      <c r="J374" s="7"/>
      <c r="K374" s="152"/>
      <c r="L374" s="123"/>
      <c r="M374" s="153"/>
    </row>
    <row r="375" spans="1:13" ht="15.75" x14ac:dyDescent="0.25">
      <c r="A375" s="136" t="str">
        <f>патриотика!A336</f>
        <v>Свеча зажигания DENSO  Q16ТТ#4  4607#4 (1 шт.)</v>
      </c>
      <c r="B375" s="88" t="s">
        <v>91</v>
      </c>
      <c r="C375" s="88">
        <v>56</v>
      </c>
      <c r="D375" s="181">
        <f>PRODUCT(Лист1!G93,$A$260)</f>
        <v>2.1040000000000001</v>
      </c>
      <c r="E375" s="342">
        <f>Лист1!H93</f>
        <v>185</v>
      </c>
      <c r="F375" s="459">
        <f t="shared" si="18"/>
        <v>389.24</v>
      </c>
      <c r="G375" s="179"/>
      <c r="H375" s="7"/>
      <c r="I375" s="7"/>
      <c r="J375" s="7"/>
      <c r="K375" s="152"/>
      <c r="L375" s="123"/>
      <c r="M375" s="153"/>
    </row>
    <row r="376" spans="1:13" ht="15.75" x14ac:dyDescent="0.25">
      <c r="A376" s="136" t="str">
        <f>патриотика!A337</f>
        <v>Скоба омегообр. с резьбой г/п 2,0т тип G 209 ХЛ</v>
      </c>
      <c r="B376" s="88" t="s">
        <v>91</v>
      </c>
      <c r="C376" s="88">
        <v>57</v>
      </c>
      <c r="D376" s="181">
        <f>PRODUCT(Лист1!G94,$A$260)</f>
        <v>0.26300000000000001</v>
      </c>
      <c r="E376" s="342">
        <f>Лист1!H94</f>
        <v>175</v>
      </c>
      <c r="F376" s="459">
        <f t="shared" si="18"/>
        <v>46.024999999999999</v>
      </c>
      <c r="G376" s="179"/>
      <c r="H376" s="7"/>
      <c r="I376" s="7"/>
      <c r="J376" s="7"/>
      <c r="K376" s="152"/>
      <c r="L376" s="123"/>
      <c r="M376" s="153"/>
    </row>
    <row r="377" spans="1:13" ht="15.75" x14ac:dyDescent="0.25">
      <c r="A377" s="136" t="str">
        <f>патриотика!A338</f>
        <v>Строп динамический (рывковый) 6т,  9 м, серия "Стандарт" TPlus</v>
      </c>
      <c r="B377" s="88" t="s">
        <v>91</v>
      </c>
      <c r="C377" s="88">
        <v>58</v>
      </c>
      <c r="D377" s="181">
        <f>PRODUCT(Лист1!G95,$A$260)</f>
        <v>0.26300000000000001</v>
      </c>
      <c r="E377" s="342">
        <f>Лист1!H95</f>
        <v>1750</v>
      </c>
      <c r="F377" s="459">
        <f t="shared" si="18"/>
        <v>460.25</v>
      </c>
      <c r="G377" s="179"/>
      <c r="H377" s="7"/>
      <c r="I377" s="7"/>
      <c r="J377" s="7"/>
      <c r="K377" s="152"/>
      <c r="L377" s="123"/>
      <c r="M377" s="153"/>
    </row>
    <row r="378" spans="1:13" ht="30" x14ac:dyDescent="0.25">
      <c r="A378" s="136" t="str">
        <f>патриотика!A339</f>
        <v>Ступица заднего колеса УАЗ-3163(с имп.диском в сборе АБС)3163-3104006 (3163-3104006)</v>
      </c>
      <c r="B378" s="88" t="s">
        <v>91</v>
      </c>
      <c r="C378" s="88">
        <v>59</v>
      </c>
      <c r="D378" s="181">
        <f>PRODUCT(Лист1!G96,$A$260)</f>
        <v>0.26300000000000001</v>
      </c>
      <c r="E378" s="342">
        <f>Лист1!H96</f>
        <v>4460</v>
      </c>
      <c r="F378" s="459">
        <f t="shared" si="18"/>
        <v>1172.98</v>
      </c>
      <c r="G378" s="179"/>
      <c r="H378" s="7"/>
      <c r="I378" s="7"/>
      <c r="J378" s="7"/>
      <c r="K378" s="152"/>
      <c r="L378" s="123"/>
      <c r="M378" s="153"/>
    </row>
    <row r="379" spans="1:13" ht="30" x14ac:dyDescent="0.25">
      <c r="A379" s="136" t="str">
        <f>патриотика!A340</f>
        <v>Сцепление к-т ЗМЗ-409"LUK"(с выжимным подшипником АДС)3163 06 1601006 (3163 06 1601006)</v>
      </c>
      <c r="B379" s="88" t="s">
        <v>91</v>
      </c>
      <c r="C379" s="88">
        <v>60</v>
      </c>
      <c r="D379" s="181">
        <f>PRODUCT(Лист1!G97,$A$260)</f>
        <v>0.26300000000000001</v>
      </c>
      <c r="E379" s="342">
        <f>Лист1!H97</f>
        <v>8725</v>
      </c>
      <c r="F379" s="459">
        <f t="shared" si="18"/>
        <v>2294.6750000000002</v>
      </c>
      <c r="G379" s="179"/>
      <c r="H379" s="7"/>
      <c r="I379" s="7"/>
      <c r="J379" s="7"/>
      <c r="K379" s="152"/>
      <c r="L379" s="123"/>
      <c r="M379" s="153"/>
    </row>
    <row r="380" spans="1:13" ht="15.75" x14ac:dyDescent="0.25">
      <c r="A380" s="136" t="str">
        <f>патриотика!A341</f>
        <v>Термостат Т-118 t-87 (УМЗ4216) Электон  Т118-1306100-04</v>
      </c>
      <c r="B380" s="88" t="s">
        <v>91</v>
      </c>
      <c r="C380" s="88">
        <v>61</v>
      </c>
      <c r="D380" s="181">
        <f>PRODUCT(Лист1!G98,$A$260)</f>
        <v>0.52600000000000002</v>
      </c>
      <c r="E380" s="342">
        <f>Лист1!H98</f>
        <v>315</v>
      </c>
      <c r="F380" s="459">
        <f t="shared" si="18"/>
        <v>165.69</v>
      </c>
      <c r="G380" s="179"/>
      <c r="H380" s="7"/>
      <c r="I380" s="7"/>
      <c r="J380" s="7"/>
      <c r="K380" s="152"/>
      <c r="L380" s="123"/>
      <c r="M380" s="153"/>
    </row>
    <row r="381" spans="1:13" ht="15.75" x14ac:dyDescent="0.25">
      <c r="A381" s="136" t="str">
        <f>патриотика!A342</f>
        <v>Тормозная жидкость G-Energy EXPERT DOT4 (0.910кг)</v>
      </c>
      <c r="B381" s="88" t="s">
        <v>91</v>
      </c>
      <c r="C381" s="88">
        <v>62</v>
      </c>
      <c r="D381" s="181">
        <f>PRODUCT(Лист1!G99,$A$260)</f>
        <v>0.52600000000000002</v>
      </c>
      <c r="E381" s="342">
        <f>Лист1!H99</f>
        <v>234</v>
      </c>
      <c r="F381" s="459">
        <f t="shared" si="18"/>
        <v>123.084</v>
      </c>
      <c r="G381" s="179"/>
      <c r="H381" s="7"/>
      <c r="I381" s="7"/>
      <c r="J381" s="7"/>
      <c r="K381" s="152"/>
      <c r="L381" s="123"/>
      <c r="M381" s="153"/>
    </row>
    <row r="382" spans="1:13" ht="30" x14ac:dyDescent="0.25">
      <c r="A382" s="136" t="str">
        <f>патриотика!A343</f>
        <v>Уплотнитель свечного колодца 406 дв.(ЕВРО-2)(Силикон синий) 406.1007248-10 (406.1007248-10)</v>
      </c>
      <c r="B382" s="88" t="s">
        <v>91</v>
      </c>
      <c r="C382" s="88">
        <v>63</v>
      </c>
      <c r="D382" s="181">
        <f>PRODUCT(Лист1!G100,$A$260)</f>
        <v>0.26300000000000001</v>
      </c>
      <c r="E382" s="342">
        <f>Лист1!H100</f>
        <v>96</v>
      </c>
      <c r="F382" s="459">
        <f t="shared" si="18"/>
        <v>25.248000000000001</v>
      </c>
      <c r="G382" s="179"/>
      <c r="H382" s="7"/>
      <c r="I382" s="7"/>
      <c r="J382" s="7"/>
      <c r="K382" s="152"/>
      <c r="L382" s="123"/>
      <c r="M382" s="153"/>
    </row>
    <row r="383" spans="1:13" ht="15.75" x14ac:dyDescent="0.25">
      <c r="A383" s="136" t="str">
        <f>патриотика!A344</f>
        <v>Утеплитель лобовой наружный с дверями УАЗ-452(ватин/венил/кожа)</v>
      </c>
      <c r="B383" s="88" t="s">
        <v>91</v>
      </c>
      <c r="C383" s="88">
        <v>64</v>
      </c>
      <c r="D383" s="181">
        <f>PRODUCT(Лист1!G101,$A$260)</f>
        <v>0.26300000000000001</v>
      </c>
      <c r="E383" s="342">
        <f>Лист1!H101</f>
        <v>1220</v>
      </c>
      <c r="F383" s="459">
        <f t="shared" si="18"/>
        <v>320.86</v>
      </c>
      <c r="G383" s="179"/>
      <c r="H383" s="7"/>
      <c r="I383" s="7"/>
      <c r="J383" s="7"/>
      <c r="K383" s="152"/>
      <c r="L383" s="123"/>
      <c r="M383" s="153"/>
    </row>
    <row r="384" spans="1:13" ht="30" x14ac:dyDescent="0.25">
      <c r="A384" s="136" t="str">
        <f>патриотика!A345</f>
        <v>Фильтр масляный MANN-FILTER W 914/2(W 812)(W 813)(W 914/2 n)(W 914/5)"10"</v>
      </c>
      <c r="B384" s="88" t="s">
        <v>91</v>
      </c>
      <c r="C384" s="88">
        <v>65</v>
      </c>
      <c r="D384" s="181">
        <f>PRODUCT(Лист1!G102,$A$260)</f>
        <v>1.052</v>
      </c>
      <c r="E384" s="342">
        <f>Лист1!H102</f>
        <v>330</v>
      </c>
      <c r="F384" s="459">
        <f t="shared" si="18"/>
        <v>347.16</v>
      </c>
      <c r="G384" s="179"/>
      <c r="H384" s="7"/>
      <c r="I384" s="7"/>
      <c r="J384" s="7"/>
      <c r="K384" s="152"/>
      <c r="L384" s="123"/>
      <c r="M384" s="153"/>
    </row>
    <row r="385" spans="1:13" ht="30" x14ac:dyDescent="0.25">
      <c r="A385" s="136" t="str">
        <f>патриотика!A346</f>
        <v>Фильтр топливный УАЗ ( инжектор штуцера с резьбой)УАЗ Оригиннал 3151-96-1117010 (3151-96-1117010)</v>
      </c>
      <c r="B385" s="88" t="s">
        <v>91</v>
      </c>
      <c r="C385" s="88">
        <v>66</v>
      </c>
      <c r="D385" s="181">
        <f>PRODUCT(Лист1!G103,$A$260)</f>
        <v>1.052</v>
      </c>
      <c r="E385" s="342">
        <f>Лист1!H103</f>
        <v>350</v>
      </c>
      <c r="F385" s="459">
        <f t="shared" si="18"/>
        <v>368.2</v>
      </c>
      <c r="G385" s="179"/>
      <c r="H385" s="7"/>
      <c r="I385" s="7"/>
      <c r="J385" s="7"/>
      <c r="K385" s="152"/>
      <c r="L385" s="123"/>
      <c r="M385" s="153"/>
    </row>
    <row r="386" spans="1:13" ht="30" x14ac:dyDescent="0.25">
      <c r="A386" s="136" t="str">
        <f>патриотика!A347</f>
        <v>Цилиндр тормозной задний УАЗ 3160,3162 Патриот(d=28мм)KNU 3160 3502040 (3160 3502040)</v>
      </c>
      <c r="B386" s="88" t="s">
        <v>91</v>
      </c>
      <c r="C386" s="88">
        <v>67</v>
      </c>
      <c r="D386" s="181">
        <f>PRODUCT(Лист1!G104,$A$260)</f>
        <v>1.052</v>
      </c>
      <c r="E386" s="342">
        <f>Лист1!H104</f>
        <v>545</v>
      </c>
      <c r="F386" s="459">
        <f t="shared" si="18"/>
        <v>573.34</v>
      </c>
      <c r="G386" s="179"/>
      <c r="H386" s="7"/>
      <c r="I386" s="7"/>
      <c r="J386" s="7"/>
      <c r="K386" s="152"/>
      <c r="L386" s="123"/>
      <c r="M386" s="153"/>
    </row>
    <row r="387" spans="1:13" ht="15.75" x14ac:dyDescent="0.25">
      <c r="A387" s="136" t="str">
        <f>патриотика!A348</f>
        <v>Шакл (скоба омегообр. с резьбой г/п 3,25т)тип G209 ХЛ</v>
      </c>
      <c r="B387" s="88" t="s">
        <v>91</v>
      </c>
      <c r="C387" s="88">
        <v>68</v>
      </c>
      <c r="D387" s="181">
        <f>PRODUCT(Лист1!G105,$A$260)</f>
        <v>0.26300000000000001</v>
      </c>
      <c r="E387" s="342">
        <f>Лист1!H105</f>
        <v>285</v>
      </c>
      <c r="F387" s="459">
        <f t="shared" si="18"/>
        <v>74.954999999999998</v>
      </c>
      <c r="G387" s="179"/>
      <c r="H387" s="7"/>
      <c r="I387" s="7"/>
      <c r="J387" s="7"/>
      <c r="K387" s="152"/>
      <c r="L387" s="123"/>
      <c r="M387" s="153"/>
    </row>
    <row r="388" spans="1:13" ht="15.75" x14ac:dyDescent="0.25">
      <c r="A388" s="136" t="str">
        <f>патриотика!A349</f>
        <v>Шкив помпы 406 дв текстолит 406.1308025-10 ( 406.1308025-10)</v>
      </c>
      <c r="B388" s="88" t="s">
        <v>91</v>
      </c>
      <c r="C388" s="88">
        <v>69</v>
      </c>
      <c r="D388" s="181">
        <f>PRODUCT(Лист1!G106,$A$260)</f>
        <v>0.78900000000000003</v>
      </c>
      <c r="E388" s="342">
        <f>Лист1!H106</f>
        <v>106</v>
      </c>
      <c r="F388" s="459">
        <f t="shared" si="18"/>
        <v>83.634</v>
      </c>
      <c r="G388" s="179"/>
      <c r="H388" s="7"/>
      <c r="I388" s="7"/>
      <c r="J388" s="7"/>
      <c r="K388" s="152"/>
      <c r="L388" s="123"/>
      <c r="M388" s="153"/>
    </row>
    <row r="389" spans="1:13" ht="30" x14ac:dyDescent="0.25">
      <c r="A389" s="136" t="str">
        <f>патриотика!A350</f>
        <v>Шланг тормозной задний УАЗ-452 инжектор.ЕВРО-4 3962-3506061 (3962-3506061)</v>
      </c>
      <c r="B389" s="88" t="s">
        <v>91</v>
      </c>
      <c r="C389" s="88">
        <v>70</v>
      </c>
      <c r="D389" s="181">
        <f>PRODUCT(Лист1!G107,$A$260)</f>
        <v>1.052</v>
      </c>
      <c r="E389" s="342">
        <f>Лист1!H107</f>
        <v>185</v>
      </c>
      <c r="F389" s="459">
        <f t="shared" si="18"/>
        <v>194.62</v>
      </c>
      <c r="G389" s="179"/>
      <c r="H389" s="7"/>
      <c r="I389" s="7"/>
      <c r="J389" s="7"/>
      <c r="K389" s="152"/>
      <c r="L389" s="123"/>
      <c r="M389" s="153"/>
    </row>
    <row r="390" spans="1:13" ht="30" x14ac:dyDescent="0.25">
      <c r="A390" s="136" t="str">
        <f>патриотика!A351</f>
        <v>Шланг тормозной передний УАЗ-452 инжектор Евро-4 3962-3506060 (3962-3506060)</v>
      </c>
      <c r="B390" s="88" t="s">
        <v>91</v>
      </c>
      <c r="C390" s="88">
        <v>71</v>
      </c>
      <c r="D390" s="181">
        <f>PRODUCT(Лист1!G108,$A$260)</f>
        <v>1.052</v>
      </c>
      <c r="E390" s="342">
        <f>Лист1!H108</f>
        <v>216</v>
      </c>
      <c r="F390" s="459">
        <f t="shared" si="18"/>
        <v>227.232</v>
      </c>
      <c r="G390" s="179"/>
      <c r="H390" s="7"/>
      <c r="I390" s="7"/>
      <c r="J390" s="7"/>
      <c r="K390" s="152"/>
      <c r="L390" s="123"/>
      <c r="M390" s="153"/>
    </row>
    <row r="391" spans="1:13" ht="15.75" x14ac:dyDescent="0.25">
      <c r="A391" s="136" t="str">
        <f>патриотика!A352</f>
        <v>Шпилька колеса М 14х1,5х45  ГАЗ 2410,УАЗ 20-3103008-Б (20-3103008-Б)</v>
      </c>
      <c r="B391" s="88" t="s">
        <v>91</v>
      </c>
      <c r="C391" s="88">
        <v>72</v>
      </c>
      <c r="D391" s="181">
        <f>PRODUCT(Лист1!G109,$A$260)</f>
        <v>5.26</v>
      </c>
      <c r="E391" s="342">
        <f>Лист1!H109</f>
        <v>21</v>
      </c>
      <c r="F391" s="459">
        <f t="shared" si="18"/>
        <v>110.46</v>
      </c>
      <c r="G391" s="179"/>
      <c r="H391" s="7"/>
      <c r="I391" s="7"/>
      <c r="J391" s="7"/>
      <c r="K391" s="152"/>
      <c r="L391" s="123"/>
      <c r="M391" s="153"/>
    </row>
    <row r="392" spans="1:13" ht="30" x14ac:dyDescent="0.25">
      <c r="A392" s="136" t="str">
        <f>патриотика!A353</f>
        <v>Элемент воздушного фильтра УАЗ 452 инжектор 4213,409 (низкий)Цитрон 9.1.97 1109080 (9.1.97 1109080)</v>
      </c>
      <c r="B392" s="88" t="s">
        <v>91</v>
      </c>
      <c r="C392" s="88">
        <v>73</v>
      </c>
      <c r="D392" s="181">
        <f>PRODUCT(Лист1!G110,$A$260)</f>
        <v>0.52600000000000002</v>
      </c>
      <c r="E392" s="342">
        <f>Лист1!H110</f>
        <v>357</v>
      </c>
      <c r="F392" s="459">
        <f t="shared" si="18"/>
        <v>187.78200000000001</v>
      </c>
      <c r="G392" s="179"/>
      <c r="H392" s="7"/>
      <c r="I392" s="7"/>
      <c r="J392" s="7"/>
      <c r="K392" s="152"/>
      <c r="L392" s="123"/>
      <c r="M392" s="153"/>
    </row>
    <row r="393" spans="1:13" ht="15.75" x14ac:dyDescent="0.25">
      <c r="A393" s="136" t="str">
        <f>патриотика!A354</f>
        <v>Кран шаровый</v>
      </c>
      <c r="B393" s="88" t="s">
        <v>91</v>
      </c>
      <c r="C393" s="88">
        <v>74</v>
      </c>
      <c r="D393" s="181">
        <f>PRODUCT(Лист1!G111,$A$260)</f>
        <v>0.26300000000000001</v>
      </c>
      <c r="E393" s="342">
        <f>Лист1!H111</f>
        <v>280</v>
      </c>
      <c r="F393" s="459">
        <f t="shared" si="18"/>
        <v>73.64</v>
      </c>
      <c r="G393" s="179"/>
      <c r="H393" s="7"/>
      <c r="I393" s="7"/>
      <c r="J393" s="7"/>
      <c r="K393" s="152"/>
      <c r="L393" s="123"/>
      <c r="M393" s="153"/>
    </row>
    <row r="394" spans="1:13" ht="15.75" x14ac:dyDescent="0.25">
      <c r="A394" s="136" t="str">
        <f>патриотика!A355</f>
        <v>Вода дист</v>
      </c>
      <c r="B394" s="88" t="s">
        <v>91</v>
      </c>
      <c r="C394" s="88">
        <v>75</v>
      </c>
      <c r="D394" s="181">
        <f>PRODUCT(Лист1!G112,$A$260)</f>
        <v>0.26300000000000001</v>
      </c>
      <c r="E394" s="342">
        <f>Лист1!H112</f>
        <v>50</v>
      </c>
      <c r="F394" s="459">
        <f t="shared" si="18"/>
        <v>13.15</v>
      </c>
      <c r="G394" s="179"/>
      <c r="H394" s="7"/>
      <c r="I394" s="7"/>
      <c r="J394" s="7"/>
      <c r="K394" s="152"/>
      <c r="L394" s="123"/>
      <c r="M394" s="153"/>
    </row>
    <row r="395" spans="1:13" ht="15.75" x14ac:dyDescent="0.25">
      <c r="A395" s="136" t="str">
        <f>патриотика!A356</f>
        <v>Кислота серная</v>
      </c>
      <c r="B395" s="88" t="s">
        <v>91</v>
      </c>
      <c r="C395" s="88">
        <v>76</v>
      </c>
      <c r="D395" s="181">
        <f>PRODUCT(Лист1!G113,$A$260)</f>
        <v>1.052</v>
      </c>
      <c r="E395" s="342">
        <f>Лист1!H113</f>
        <v>70</v>
      </c>
      <c r="F395" s="459">
        <f t="shared" si="18"/>
        <v>73.64</v>
      </c>
      <c r="G395" s="179"/>
      <c r="H395" s="7"/>
      <c r="I395" s="7"/>
      <c r="J395" s="7"/>
      <c r="K395" s="152"/>
      <c r="L395" s="123"/>
      <c r="M395" s="153"/>
    </row>
    <row r="396" spans="1:13" ht="15.75" x14ac:dyDescent="0.25">
      <c r="A396" s="136" t="str">
        <f>патриотика!A357</f>
        <v>Пакеты майка</v>
      </c>
      <c r="B396" s="88" t="s">
        <v>91</v>
      </c>
      <c r="C396" s="88">
        <v>77</v>
      </c>
      <c r="D396" s="181">
        <f>PRODUCT(Лист1!G114,$A$260)</f>
        <v>0.26300000000000001</v>
      </c>
      <c r="E396" s="342">
        <f>Лист1!H114</f>
        <v>5</v>
      </c>
      <c r="F396" s="459">
        <f t="shared" si="18"/>
        <v>1.3149999999999999</v>
      </c>
      <c r="G396" s="179"/>
      <c r="H396" s="7"/>
      <c r="I396" s="7"/>
      <c r="J396" s="7"/>
      <c r="K396" s="152"/>
      <c r="L396" s="123"/>
      <c r="M396" s="153"/>
    </row>
    <row r="397" spans="1:13" ht="15.75" x14ac:dyDescent="0.25">
      <c r="A397" s="136" t="str">
        <f>патриотика!A358</f>
        <v>Уголок мебельный</v>
      </c>
      <c r="B397" s="88" t="s">
        <v>91</v>
      </c>
      <c r="C397" s="88">
        <v>78</v>
      </c>
      <c r="D397" s="181">
        <f>PRODUCT(Лист1!G115,$A$260)</f>
        <v>2.63</v>
      </c>
      <c r="E397" s="342">
        <f>Лист1!H115</f>
        <v>7</v>
      </c>
      <c r="F397" s="459">
        <f t="shared" si="18"/>
        <v>18.41</v>
      </c>
      <c r="G397" s="179"/>
      <c r="H397" s="7"/>
      <c r="I397" s="7"/>
      <c r="J397" s="7"/>
      <c r="K397" s="152"/>
      <c r="L397" s="123"/>
      <c r="M397" s="153"/>
    </row>
    <row r="398" spans="1:13" ht="15.75" x14ac:dyDescent="0.25">
      <c r="A398" s="136" t="str">
        <f>патриотика!A359</f>
        <v>Саморез по гипсокартону</v>
      </c>
      <c r="B398" s="88" t="s">
        <v>91</v>
      </c>
      <c r="C398" s="88">
        <v>79</v>
      </c>
      <c r="D398" s="181">
        <f>PRODUCT(Лист1!G116,$A$260)</f>
        <v>52.6</v>
      </c>
      <c r="E398" s="342">
        <f>Лист1!H116</f>
        <v>0.4</v>
      </c>
      <c r="F398" s="459">
        <f t="shared" si="18"/>
        <v>21.040000000000003</v>
      </c>
      <c r="G398" s="179"/>
      <c r="H398" s="7"/>
      <c r="I398" s="7"/>
      <c r="J398" s="7"/>
      <c r="K398" s="152"/>
      <c r="L398" s="123"/>
      <c r="M398" s="153"/>
    </row>
    <row r="399" spans="1:13" ht="15.75" x14ac:dyDescent="0.25">
      <c r="A399" s="136" t="str">
        <f>патриотика!A360</f>
        <v>Доместос</v>
      </c>
      <c r="B399" s="88" t="s">
        <v>91</v>
      </c>
      <c r="C399" s="88">
        <v>80</v>
      </c>
      <c r="D399" s="181">
        <f>PRODUCT(Лист1!G117,$A$260)</f>
        <v>1.3149999999999999</v>
      </c>
      <c r="E399" s="342">
        <f>Лист1!H117</f>
        <v>175</v>
      </c>
      <c r="F399" s="459">
        <f t="shared" ref="F399:F462" si="19">D399*E399</f>
        <v>230.125</v>
      </c>
      <c r="G399" s="179"/>
      <c r="H399" s="7"/>
      <c r="I399" s="7"/>
      <c r="J399" s="7"/>
      <c r="K399" s="152"/>
      <c r="L399" s="123"/>
      <c r="M399" s="153"/>
    </row>
    <row r="400" spans="1:13" ht="15.75" x14ac:dyDescent="0.25">
      <c r="A400" s="136" t="str">
        <f>патриотика!A361</f>
        <v>Белизна</v>
      </c>
      <c r="B400" s="88" t="s">
        <v>91</v>
      </c>
      <c r="C400" s="88">
        <v>81</v>
      </c>
      <c r="D400" s="181">
        <f>PRODUCT(Лист1!G118,$A$260)</f>
        <v>1.3149999999999999</v>
      </c>
      <c r="E400" s="342">
        <f>Лист1!H118</f>
        <v>53</v>
      </c>
      <c r="F400" s="459">
        <f t="shared" si="19"/>
        <v>69.694999999999993</v>
      </c>
      <c r="G400" s="179"/>
      <c r="H400" s="7"/>
      <c r="I400" s="7"/>
      <c r="J400" s="7"/>
      <c r="K400" s="152"/>
      <c r="L400" s="123"/>
      <c r="M400" s="153"/>
    </row>
    <row r="401" spans="1:13" ht="15.75" x14ac:dyDescent="0.25">
      <c r="A401" s="136" t="str">
        <f>патриотика!A362</f>
        <v xml:space="preserve">Пемолюкс </v>
      </c>
      <c r="B401" s="88" t="s">
        <v>91</v>
      </c>
      <c r="C401" s="88">
        <v>82</v>
      </c>
      <c r="D401" s="181">
        <f>PRODUCT(Лист1!G119,$A$260)</f>
        <v>3.9450000000000003</v>
      </c>
      <c r="E401" s="342">
        <f>Лист1!H119</f>
        <v>60</v>
      </c>
      <c r="F401" s="459">
        <f t="shared" si="19"/>
        <v>236.70000000000002</v>
      </c>
      <c r="G401" s="179"/>
      <c r="H401" s="7"/>
      <c r="I401" s="7"/>
      <c r="J401" s="7"/>
      <c r="K401" s="152"/>
      <c r="L401" s="123"/>
      <c r="M401" s="153"/>
    </row>
    <row r="402" spans="1:13" ht="15.75" x14ac:dyDescent="0.25">
      <c r="A402" s="136" t="str">
        <f>патриотика!A363</f>
        <v>Мыло</v>
      </c>
      <c r="B402" s="88" t="s">
        <v>91</v>
      </c>
      <c r="C402" s="88">
        <v>83</v>
      </c>
      <c r="D402" s="181">
        <f>PRODUCT(Лист1!G120,$A$260)</f>
        <v>0.26300000000000001</v>
      </c>
      <c r="E402" s="342">
        <f>Лист1!H120</f>
        <v>132</v>
      </c>
      <c r="F402" s="459">
        <f t="shared" si="19"/>
        <v>34.716000000000001</v>
      </c>
      <c r="G402" s="179"/>
      <c r="H402" s="7"/>
      <c r="I402" s="7"/>
      <c r="J402" s="7"/>
      <c r="K402" s="152"/>
      <c r="L402" s="123"/>
      <c r="M402" s="153"/>
    </row>
    <row r="403" spans="1:13" ht="15.75" x14ac:dyDescent="0.25">
      <c r="A403" s="136" t="str">
        <f>патриотика!A364</f>
        <v>Стеклоочиститель с распылителем</v>
      </c>
      <c r="B403" s="88" t="s">
        <v>91</v>
      </c>
      <c r="C403" s="88">
        <v>84</v>
      </c>
      <c r="D403" s="181">
        <f>PRODUCT(Лист1!G121,$A$260)</f>
        <v>0.26300000000000001</v>
      </c>
      <c r="E403" s="342">
        <f>Лист1!H121</f>
        <v>255</v>
      </c>
      <c r="F403" s="459">
        <f t="shared" si="19"/>
        <v>67.064999999999998</v>
      </c>
      <c r="G403" s="179"/>
      <c r="H403" s="7"/>
      <c r="I403" s="7"/>
      <c r="J403" s="7"/>
      <c r="K403" s="152"/>
      <c r="L403" s="123"/>
      <c r="M403" s="153"/>
    </row>
    <row r="404" spans="1:13" ht="15.75" x14ac:dyDescent="0.25">
      <c r="A404" s="136" t="str">
        <f>патриотика!A365</f>
        <v>Стеклоочиститель (сменный блок)</v>
      </c>
      <c r="B404" s="88" t="s">
        <v>91</v>
      </c>
      <c r="C404" s="88">
        <v>85</v>
      </c>
      <c r="D404" s="181">
        <f>PRODUCT(Лист1!G122,$A$260)</f>
        <v>0.26300000000000001</v>
      </c>
      <c r="E404" s="342">
        <f>Лист1!H122</f>
        <v>55</v>
      </c>
      <c r="F404" s="459">
        <f t="shared" si="19"/>
        <v>14.465</v>
      </c>
      <c r="G404" s="179"/>
      <c r="H404" s="7"/>
      <c r="I404" s="7"/>
      <c r="J404" s="7"/>
      <c r="K404" s="152"/>
      <c r="L404" s="123"/>
      <c r="M404" s="153"/>
    </row>
    <row r="405" spans="1:13" ht="15.75" x14ac:dyDescent="0.25">
      <c r="A405" s="136" t="str">
        <f>патриотика!A366</f>
        <v>Губки</v>
      </c>
      <c r="B405" s="88" t="s">
        <v>91</v>
      </c>
      <c r="C405" s="88">
        <v>86</v>
      </c>
      <c r="D405" s="181">
        <f>PRODUCT(Лист1!G123,$A$260)</f>
        <v>0.52600000000000002</v>
      </c>
      <c r="E405" s="342">
        <f>Лист1!H123</f>
        <v>220</v>
      </c>
      <c r="F405" s="459">
        <f t="shared" si="19"/>
        <v>115.72</v>
      </c>
      <c r="G405" s="179"/>
      <c r="H405" s="7"/>
      <c r="I405" s="7"/>
      <c r="J405" s="7"/>
      <c r="K405" s="152"/>
      <c r="L405" s="123"/>
      <c r="M405" s="153"/>
    </row>
    <row r="406" spans="1:13" ht="15.75" x14ac:dyDescent="0.25">
      <c r="A406" s="136" t="str">
        <f>патриотика!A367</f>
        <v>Моющее средство МИФ</v>
      </c>
      <c r="B406" s="88" t="s">
        <v>91</v>
      </c>
      <c r="C406" s="88">
        <v>87</v>
      </c>
      <c r="D406" s="181">
        <f>PRODUCT(Лист1!G124,$A$260)</f>
        <v>1.3149999999999999</v>
      </c>
      <c r="E406" s="342">
        <f>Лист1!H124</f>
        <v>115</v>
      </c>
      <c r="F406" s="459">
        <f t="shared" si="19"/>
        <v>151.22499999999999</v>
      </c>
      <c r="G406" s="179"/>
      <c r="H406" s="7"/>
      <c r="I406" s="7"/>
      <c r="J406" s="7"/>
      <c r="K406" s="152"/>
      <c r="L406" s="123"/>
      <c r="M406" s="153"/>
    </row>
    <row r="407" spans="1:13" ht="15.75" x14ac:dyDescent="0.25">
      <c r="A407" s="136" t="str">
        <f>патриотика!A368</f>
        <v>Тряпка вискозная</v>
      </c>
      <c r="B407" s="88" t="s">
        <v>91</v>
      </c>
      <c r="C407" s="88">
        <v>88</v>
      </c>
      <c r="D407" s="181">
        <f>PRODUCT(Лист1!G125,$A$260)</f>
        <v>1.3149999999999999</v>
      </c>
      <c r="E407" s="342">
        <f>Лист1!H125</f>
        <v>70</v>
      </c>
      <c r="F407" s="459">
        <f t="shared" si="19"/>
        <v>92.05</v>
      </c>
      <c r="G407" s="179"/>
      <c r="H407" s="7"/>
      <c r="I407" s="7"/>
      <c r="J407" s="7"/>
      <c r="K407" s="152"/>
      <c r="L407" s="125"/>
      <c r="M407" s="153"/>
    </row>
    <row r="408" spans="1:13" ht="15.75" x14ac:dyDescent="0.25">
      <c r="A408" s="136" t="str">
        <f>патриотика!A369</f>
        <v>Тряпки</v>
      </c>
      <c r="B408" s="88" t="s">
        <v>91</v>
      </c>
      <c r="C408" s="88">
        <v>89</v>
      </c>
      <c r="D408" s="181">
        <f>PRODUCT(Лист1!G126,$A$260)</f>
        <v>1.3149999999999999</v>
      </c>
      <c r="E408" s="342">
        <f>Лист1!H126</f>
        <v>170</v>
      </c>
      <c r="F408" s="459">
        <f t="shared" si="19"/>
        <v>223.54999999999998</v>
      </c>
      <c r="G408" s="179"/>
      <c r="H408" s="7"/>
      <c r="I408" s="7"/>
      <c r="J408" s="7"/>
      <c r="K408" s="152"/>
      <c r="L408" s="125"/>
      <c r="M408" s="153"/>
    </row>
    <row r="409" spans="1:13" ht="15.75" x14ac:dyDescent="0.25">
      <c r="A409" s="136" t="str">
        <f>патриотика!A370</f>
        <v>Полотенца бумажные</v>
      </c>
      <c r="B409" s="88" t="s">
        <v>91</v>
      </c>
      <c r="C409" s="88">
        <v>90</v>
      </c>
      <c r="D409" s="181">
        <f>PRODUCT(Лист1!G127,$A$260)</f>
        <v>1.3149999999999999</v>
      </c>
      <c r="E409" s="342">
        <f>Лист1!H127</f>
        <v>95</v>
      </c>
      <c r="F409" s="459">
        <f t="shared" si="19"/>
        <v>124.925</v>
      </c>
      <c r="G409" s="179"/>
      <c r="H409" s="7"/>
      <c r="I409" s="7"/>
      <c r="J409" s="7"/>
      <c r="K409" s="152"/>
      <c r="L409" s="125"/>
      <c r="M409" s="153"/>
    </row>
    <row r="410" spans="1:13" ht="15.75" x14ac:dyDescent="0.25">
      <c r="A410" s="136" t="str">
        <f>патриотика!A371</f>
        <v>Железная губка</v>
      </c>
      <c r="B410" s="88" t="s">
        <v>91</v>
      </c>
      <c r="C410" s="88">
        <v>91</v>
      </c>
      <c r="D410" s="181">
        <f>PRODUCT(Лист1!G128,$A$260)</f>
        <v>0.52600000000000002</v>
      </c>
      <c r="E410" s="342">
        <f>Лист1!H128</f>
        <v>30</v>
      </c>
      <c r="F410" s="459">
        <f t="shared" si="19"/>
        <v>15.780000000000001</v>
      </c>
      <c r="G410" s="179"/>
      <c r="H410" s="7"/>
      <c r="I410" s="7"/>
      <c r="J410" s="7"/>
      <c r="K410" s="152"/>
      <c r="L410" s="125"/>
      <c r="M410" s="153"/>
    </row>
    <row r="411" spans="1:13" ht="15.75" x14ac:dyDescent="0.25">
      <c r="A411" s="136" t="str">
        <f>патриотика!A372</f>
        <v>Перчатки</v>
      </c>
      <c r="B411" s="88" t="s">
        <v>91</v>
      </c>
      <c r="C411" s="88">
        <v>92</v>
      </c>
      <c r="D411" s="181">
        <f>PRODUCT(Лист1!G129,$A$260)</f>
        <v>1.3149999999999999</v>
      </c>
      <c r="E411" s="342">
        <f>Лист1!H129</f>
        <v>60</v>
      </c>
      <c r="F411" s="459">
        <f t="shared" si="19"/>
        <v>78.899999999999991</v>
      </c>
      <c r="G411" s="179"/>
      <c r="H411" s="7"/>
      <c r="I411" s="7"/>
      <c r="J411" s="7"/>
      <c r="K411" s="152"/>
      <c r="L411" s="125"/>
      <c r="M411" s="153"/>
    </row>
    <row r="412" spans="1:13" ht="15.75" x14ac:dyDescent="0.25">
      <c r="A412" s="136" t="str">
        <f>патриотика!A373</f>
        <v>Блок гигиенический для унитаза</v>
      </c>
      <c r="B412" s="88" t="s">
        <v>91</v>
      </c>
      <c r="C412" s="88">
        <v>93</v>
      </c>
      <c r="D412" s="181">
        <f>PRODUCT(Лист1!G130,$A$260)</f>
        <v>0.52600000000000002</v>
      </c>
      <c r="E412" s="342">
        <f>Лист1!H130</f>
        <v>90</v>
      </c>
      <c r="F412" s="459">
        <f t="shared" si="19"/>
        <v>47.34</v>
      </c>
      <c r="G412" s="179"/>
      <c r="H412" s="7"/>
      <c r="I412" s="7"/>
      <c r="J412" s="7"/>
      <c r="K412" s="152"/>
      <c r="L412" s="125"/>
      <c r="M412" s="153"/>
    </row>
    <row r="413" spans="1:13" ht="15.75" x14ac:dyDescent="0.25">
      <c r="A413" s="136" t="str">
        <f>патриотика!A374</f>
        <v>Мыло</v>
      </c>
      <c r="B413" s="88" t="s">
        <v>91</v>
      </c>
      <c r="C413" s="88">
        <v>94</v>
      </c>
      <c r="D413" s="181">
        <f>PRODUCT(Лист1!G131,$A$260)</f>
        <v>1.3149999999999999</v>
      </c>
      <c r="E413" s="342">
        <f>Лист1!H131</f>
        <v>45</v>
      </c>
      <c r="F413" s="459">
        <f t="shared" si="19"/>
        <v>59.174999999999997</v>
      </c>
      <c r="G413" s="179"/>
      <c r="H413" s="7"/>
      <c r="I413" s="7"/>
      <c r="J413" s="7"/>
      <c r="K413" s="152"/>
      <c r="L413" s="125"/>
      <c r="M413" s="153"/>
    </row>
    <row r="414" spans="1:13" ht="15.75" x14ac:dyDescent="0.25">
      <c r="A414" s="136" t="str">
        <f>патриотика!A375</f>
        <v>Мешки для мусора 60 л</v>
      </c>
      <c r="B414" s="88" t="s">
        <v>91</v>
      </c>
      <c r="C414" s="88">
        <v>95</v>
      </c>
      <c r="D414" s="181">
        <f>PRODUCT(Лист1!G132,$A$260)</f>
        <v>2.63</v>
      </c>
      <c r="E414" s="342">
        <f>Лист1!H132</f>
        <v>90</v>
      </c>
      <c r="F414" s="459">
        <f t="shared" si="19"/>
        <v>236.7</v>
      </c>
      <c r="G414" s="179"/>
      <c r="H414" s="7"/>
      <c r="I414" s="7"/>
      <c r="J414" s="7"/>
      <c r="K414" s="152"/>
      <c r="L414" s="125"/>
      <c r="M414" s="153"/>
    </row>
    <row r="415" spans="1:13" ht="15.75" x14ac:dyDescent="0.25">
      <c r="A415" s="136" t="str">
        <f>патриотика!A376</f>
        <v>Мешки для мусора 120 л</v>
      </c>
      <c r="B415" s="88" t="s">
        <v>91</v>
      </c>
      <c r="C415" s="88">
        <v>96</v>
      </c>
      <c r="D415" s="181">
        <f>PRODUCT(Лист1!G133,$A$260)</f>
        <v>1.3149999999999999</v>
      </c>
      <c r="E415" s="342">
        <f>Лист1!H133</f>
        <v>100</v>
      </c>
      <c r="F415" s="459">
        <f t="shared" si="19"/>
        <v>131.5</v>
      </c>
      <c r="G415" s="179"/>
      <c r="H415" s="7"/>
      <c r="I415" s="7"/>
      <c r="J415" s="7"/>
      <c r="K415" s="152"/>
      <c r="L415" s="125"/>
      <c r="M415" s="153"/>
    </row>
    <row r="416" spans="1:13" ht="15.75" x14ac:dyDescent="0.25">
      <c r="A416" s="136" t="str">
        <f>патриотика!A377</f>
        <v>Мешки для мусора 35 л</v>
      </c>
      <c r="B416" s="88" t="s">
        <v>91</v>
      </c>
      <c r="C416" s="88">
        <v>97</v>
      </c>
      <c r="D416" s="181">
        <f>PRODUCT(Лист1!G134,$A$260)</f>
        <v>2.63</v>
      </c>
      <c r="E416" s="342">
        <f>Лист1!H134</f>
        <v>50</v>
      </c>
      <c r="F416" s="459">
        <f t="shared" si="19"/>
        <v>131.5</v>
      </c>
      <c r="G416" s="179"/>
      <c r="H416" s="7"/>
      <c r="I416" s="7"/>
      <c r="J416" s="7"/>
      <c r="K416" s="152"/>
      <c r="L416" s="125"/>
      <c r="M416" s="153"/>
    </row>
    <row r="417" spans="1:13" ht="15.75" x14ac:dyDescent="0.25">
      <c r="A417" s="136" t="str">
        <f>патриотика!A378</f>
        <v>Туалетная бумага</v>
      </c>
      <c r="B417" s="88" t="s">
        <v>91</v>
      </c>
      <c r="C417" s="88">
        <v>98</v>
      </c>
      <c r="D417" s="181">
        <f>PRODUCT(Лист1!G135,$A$260)</f>
        <v>12.624000000000001</v>
      </c>
      <c r="E417" s="342">
        <f>Лист1!H135</f>
        <v>18</v>
      </c>
      <c r="F417" s="459">
        <f t="shared" si="19"/>
        <v>227.232</v>
      </c>
      <c r="G417" s="179"/>
      <c r="H417" s="7"/>
      <c r="I417" s="7"/>
      <c r="J417" s="7"/>
      <c r="K417" s="152"/>
      <c r="L417" s="125"/>
      <c r="M417" s="153"/>
    </row>
    <row r="418" spans="1:13" ht="15.75" x14ac:dyDescent="0.25">
      <c r="A418" s="136" t="str">
        <f>патриотика!A379</f>
        <v>Салфетка</v>
      </c>
      <c r="B418" s="88" t="s">
        <v>91</v>
      </c>
      <c r="C418" s="88">
        <v>99</v>
      </c>
      <c r="D418" s="181">
        <f>PRODUCT(Лист1!G136,$A$260)</f>
        <v>1.3149999999999999</v>
      </c>
      <c r="E418" s="342">
        <f>Лист1!H136</f>
        <v>30</v>
      </c>
      <c r="F418" s="459">
        <f t="shared" si="19"/>
        <v>39.449999999999996</v>
      </c>
      <c r="G418" s="179"/>
      <c r="H418" s="7"/>
      <c r="I418" s="7"/>
      <c r="J418" s="7"/>
      <c r="K418" s="152"/>
      <c r="L418" s="125"/>
      <c r="M418" s="153"/>
    </row>
    <row r="419" spans="1:13" ht="15.75" x14ac:dyDescent="0.25">
      <c r="A419" s="136" t="str">
        <f>патриотика!A380</f>
        <v>Пакет</v>
      </c>
      <c r="B419" s="88" t="s">
        <v>91</v>
      </c>
      <c r="C419" s="88">
        <v>100</v>
      </c>
      <c r="D419" s="181">
        <f>PRODUCT(Лист1!G137,$A$260)</f>
        <v>0.78900000000000003</v>
      </c>
      <c r="E419" s="342">
        <f>Лист1!H137</f>
        <v>5</v>
      </c>
      <c r="F419" s="459">
        <f t="shared" si="19"/>
        <v>3.9450000000000003</v>
      </c>
      <c r="G419" s="179"/>
      <c r="H419" s="7"/>
      <c r="I419" s="7"/>
      <c r="J419" s="7"/>
      <c r="K419" s="152"/>
      <c r="L419" s="125"/>
      <c r="M419" s="153"/>
    </row>
    <row r="420" spans="1:13" ht="15.75" x14ac:dyDescent="0.25">
      <c r="A420" s="136" t="str">
        <f>патриотика!A381</f>
        <v>Жидкое мыло</v>
      </c>
      <c r="B420" s="88" t="s">
        <v>91</v>
      </c>
      <c r="C420" s="88">
        <v>101</v>
      </c>
      <c r="D420" s="181">
        <f>PRODUCT(Лист1!G138,$A$260)</f>
        <v>1.3149999999999999</v>
      </c>
      <c r="E420" s="342">
        <f>Лист1!H138</f>
        <v>260</v>
      </c>
      <c r="F420" s="459">
        <f t="shared" si="19"/>
        <v>341.9</v>
      </c>
      <c r="G420" s="179"/>
      <c r="H420" s="7"/>
      <c r="I420" s="7"/>
      <c r="J420" s="7"/>
      <c r="K420" s="152"/>
      <c r="L420" s="125"/>
      <c r="M420" s="153"/>
    </row>
    <row r="421" spans="1:13" ht="15.75" x14ac:dyDescent="0.25">
      <c r="A421" s="136" t="str">
        <f>патриотика!A382</f>
        <v>Стеклоочиститель</v>
      </c>
      <c r="B421" s="88" t="s">
        <v>91</v>
      </c>
      <c r="C421" s="88">
        <v>102</v>
      </c>
      <c r="D421" s="181">
        <f>PRODUCT(Лист1!G139,$A$260)</f>
        <v>0.78900000000000003</v>
      </c>
      <c r="E421" s="342">
        <f>Лист1!H139</f>
        <v>55</v>
      </c>
      <c r="F421" s="459">
        <f t="shared" si="19"/>
        <v>43.395000000000003</v>
      </c>
      <c r="G421" s="179"/>
      <c r="H421" s="7"/>
      <c r="I421" s="7"/>
      <c r="J421" s="7"/>
      <c r="K421" s="152"/>
      <c r="L421" s="125"/>
      <c r="M421" s="153"/>
    </row>
    <row r="422" spans="1:13" ht="15.75" x14ac:dyDescent="0.25">
      <c r="A422" s="136" t="str">
        <f>патриотика!A383</f>
        <v>Блок для записи маленький</v>
      </c>
      <c r="B422" s="88" t="s">
        <v>91</v>
      </c>
      <c r="C422" s="88">
        <v>103</v>
      </c>
      <c r="D422" s="181">
        <f>PRODUCT(Лист1!G140,$A$260)</f>
        <v>0.52600000000000002</v>
      </c>
      <c r="E422" s="342">
        <f>Лист1!H140</f>
        <v>70</v>
      </c>
      <c r="F422" s="459">
        <f t="shared" si="19"/>
        <v>36.82</v>
      </c>
      <c r="G422" s="179"/>
      <c r="H422" s="7"/>
      <c r="I422" s="7"/>
      <c r="J422" s="7"/>
      <c r="K422" s="152"/>
      <c r="L422" s="125"/>
      <c r="M422" s="153"/>
    </row>
    <row r="423" spans="1:13" ht="15.75" x14ac:dyDescent="0.25">
      <c r="A423" s="136" t="str">
        <f>патриотика!A384</f>
        <v>Блок для записи большой</v>
      </c>
      <c r="B423" s="88" t="s">
        <v>91</v>
      </c>
      <c r="C423" s="88">
        <v>104</v>
      </c>
      <c r="D423" s="181">
        <f>PRODUCT(Лист1!G141,$A$260)</f>
        <v>0.78900000000000003</v>
      </c>
      <c r="E423" s="342">
        <f>Лист1!H141</f>
        <v>80</v>
      </c>
      <c r="F423" s="459">
        <f t="shared" si="19"/>
        <v>63.120000000000005</v>
      </c>
      <c r="G423" s="179"/>
      <c r="H423" s="7"/>
      <c r="I423" s="7"/>
      <c r="J423" s="7"/>
      <c r="K423" s="152"/>
      <c r="L423" s="125"/>
      <c r="M423" s="153"/>
    </row>
    <row r="424" spans="1:13" ht="15.75" x14ac:dyDescent="0.25">
      <c r="A424" s="136" t="str">
        <f>патриотика!A385</f>
        <v>Скрепки</v>
      </c>
      <c r="B424" s="88" t="s">
        <v>91</v>
      </c>
      <c r="C424" s="88">
        <v>105</v>
      </c>
      <c r="D424" s="181">
        <f>PRODUCT(Лист1!G142,$A$260)</f>
        <v>2.63</v>
      </c>
      <c r="E424" s="342">
        <f>Лист1!H142</f>
        <v>60</v>
      </c>
      <c r="F424" s="459">
        <f t="shared" si="19"/>
        <v>157.79999999999998</v>
      </c>
      <c r="G424" s="179"/>
      <c r="H424" s="7"/>
      <c r="I424" s="7"/>
      <c r="J424" s="7"/>
      <c r="K424" s="152"/>
      <c r="L424" s="125"/>
      <c r="M424" s="153"/>
    </row>
    <row r="425" spans="1:13" ht="15.75" x14ac:dyDescent="0.25">
      <c r="A425" s="136" t="str">
        <f>патриотика!A386</f>
        <v>Кнопки</v>
      </c>
      <c r="B425" s="88" t="s">
        <v>91</v>
      </c>
      <c r="C425" s="88">
        <v>106</v>
      </c>
      <c r="D425" s="181">
        <f>PRODUCT(Лист1!G143,$A$260)</f>
        <v>2.63</v>
      </c>
      <c r="E425" s="342">
        <f>Лист1!H143</f>
        <v>30</v>
      </c>
      <c r="F425" s="459">
        <f t="shared" si="19"/>
        <v>78.899999999999991</v>
      </c>
      <c r="G425" s="179"/>
      <c r="H425" s="7"/>
      <c r="I425" s="7"/>
      <c r="J425" s="7"/>
      <c r="K425" s="152"/>
      <c r="L425" s="125"/>
      <c r="M425" s="153"/>
    </row>
    <row r="426" spans="1:13" ht="15.75" x14ac:dyDescent="0.25">
      <c r="A426" s="136" t="str">
        <f>патриотика!A387</f>
        <v>Кнопки</v>
      </c>
      <c r="B426" s="88" t="s">
        <v>91</v>
      </c>
      <c r="C426" s="88">
        <v>107</v>
      </c>
      <c r="D426" s="181">
        <f>PRODUCT(Лист1!G144,$A$260)</f>
        <v>1.3149999999999999</v>
      </c>
      <c r="E426" s="342">
        <f>Лист1!H144</f>
        <v>70</v>
      </c>
      <c r="F426" s="459">
        <f t="shared" si="19"/>
        <v>92.05</v>
      </c>
      <c r="G426" s="179"/>
      <c r="H426" s="7"/>
      <c r="I426" s="7"/>
      <c r="J426" s="7"/>
      <c r="K426" s="152"/>
      <c r="L426" s="125"/>
      <c r="M426" s="153"/>
    </row>
    <row r="427" spans="1:13" ht="15.75" x14ac:dyDescent="0.25">
      <c r="A427" s="136" t="str">
        <f>патриотика!A388</f>
        <v>Степлер №10</v>
      </c>
      <c r="B427" s="88" t="s">
        <v>91</v>
      </c>
      <c r="C427" s="88">
        <v>108</v>
      </c>
      <c r="D427" s="181">
        <f>PRODUCT(Лист1!G145,$A$260)</f>
        <v>0.26300000000000001</v>
      </c>
      <c r="E427" s="342">
        <f>Лист1!H145</f>
        <v>180</v>
      </c>
      <c r="F427" s="459">
        <f t="shared" si="19"/>
        <v>47.34</v>
      </c>
      <c r="G427" s="179"/>
      <c r="H427" s="7"/>
      <c r="I427" s="7"/>
      <c r="J427" s="7"/>
      <c r="K427" s="152"/>
      <c r="L427" s="125"/>
      <c r="M427" s="153"/>
    </row>
    <row r="428" spans="1:13" ht="15.75" x14ac:dyDescent="0.25">
      <c r="A428" s="136" t="str">
        <f>патриотика!A389</f>
        <v>Степлер №24</v>
      </c>
      <c r="B428" s="88" t="s">
        <v>91</v>
      </c>
      <c r="C428" s="88">
        <v>109</v>
      </c>
      <c r="D428" s="181">
        <f>PRODUCT(Лист1!G146,$A$260)</f>
        <v>0.26300000000000001</v>
      </c>
      <c r="E428" s="342">
        <f>Лист1!H146</f>
        <v>340</v>
      </c>
      <c r="F428" s="459">
        <f t="shared" si="19"/>
        <v>89.42</v>
      </c>
      <c r="G428" s="179"/>
      <c r="H428" s="7"/>
      <c r="I428" s="7"/>
      <c r="J428" s="7"/>
      <c r="K428" s="152"/>
      <c r="L428" s="125"/>
      <c r="M428" s="153"/>
    </row>
    <row r="429" spans="1:13" ht="15.75" x14ac:dyDescent="0.25">
      <c r="A429" s="136" t="str">
        <f>патриотика!A390</f>
        <v>Степлер №21</v>
      </c>
      <c r="B429" s="88" t="s">
        <v>91</v>
      </c>
      <c r="C429" s="88">
        <v>110</v>
      </c>
      <c r="D429" s="181">
        <f>PRODUCT(Лист1!G147,$A$260)</f>
        <v>0.78900000000000003</v>
      </c>
      <c r="E429" s="342">
        <f>Лист1!H147</f>
        <v>210</v>
      </c>
      <c r="F429" s="459">
        <f t="shared" si="19"/>
        <v>165.69</v>
      </c>
      <c r="G429" s="179"/>
      <c r="H429" s="7"/>
      <c r="I429" s="7"/>
      <c r="J429" s="7"/>
      <c r="K429" s="152"/>
      <c r="L429" s="125"/>
      <c r="M429" s="153"/>
    </row>
    <row r="430" spans="1:13" ht="15.75" x14ac:dyDescent="0.25">
      <c r="A430" s="136" t="str">
        <f>патриотика!A391</f>
        <v>Скобы для степлера (большие)</v>
      </c>
      <c r="B430" s="88" t="s">
        <v>91</v>
      </c>
      <c r="C430" s="88">
        <v>111</v>
      </c>
      <c r="D430" s="181">
        <f>PRODUCT(Лист1!G148,$A$260)</f>
        <v>5.26</v>
      </c>
      <c r="E430" s="342">
        <f>Лист1!H148</f>
        <v>20</v>
      </c>
      <c r="F430" s="459">
        <f t="shared" si="19"/>
        <v>105.19999999999999</v>
      </c>
      <c r="G430" s="179"/>
      <c r="H430" s="7"/>
      <c r="I430" s="7"/>
      <c r="J430" s="7"/>
      <c r="K430" s="152"/>
      <c r="L430" s="125"/>
      <c r="M430" s="153"/>
    </row>
    <row r="431" spans="1:13" ht="15.75" x14ac:dyDescent="0.25">
      <c r="A431" s="136" t="str">
        <f>патриотика!A392</f>
        <v>Скобы для степлера (маленькие)</v>
      </c>
      <c r="B431" s="88" t="s">
        <v>91</v>
      </c>
      <c r="C431" s="257"/>
      <c r="D431" s="181">
        <f>PRODUCT(Лист1!G149,$A$260)</f>
        <v>2.63</v>
      </c>
      <c r="E431" s="342">
        <f>Лист1!H149</f>
        <v>50</v>
      </c>
      <c r="F431" s="459">
        <f t="shared" si="19"/>
        <v>131.5</v>
      </c>
      <c r="G431" s="179"/>
      <c r="H431" s="7"/>
      <c r="I431" s="7"/>
      <c r="J431" s="7"/>
      <c r="K431" s="152"/>
      <c r="L431" s="125"/>
      <c r="M431" s="153"/>
    </row>
    <row r="432" spans="1:13" ht="15.75" x14ac:dyDescent="0.25">
      <c r="A432" s="136" t="str">
        <f>патриотика!A393</f>
        <v>Ножницы маленькие</v>
      </c>
      <c r="B432" s="88" t="s">
        <v>91</v>
      </c>
      <c r="C432" s="257"/>
      <c r="D432" s="181">
        <f>PRODUCT(Лист1!G150,$A$260)</f>
        <v>0.78900000000000003</v>
      </c>
      <c r="E432" s="342">
        <f>Лист1!H150</f>
        <v>110</v>
      </c>
      <c r="F432" s="459">
        <f t="shared" si="19"/>
        <v>86.79</v>
      </c>
      <c r="G432" s="179"/>
      <c r="H432" s="7"/>
      <c r="I432" s="7"/>
      <c r="J432" s="7"/>
      <c r="K432" s="152"/>
      <c r="L432" s="125"/>
      <c r="M432" s="153"/>
    </row>
    <row r="433" spans="1:13" ht="15.75" x14ac:dyDescent="0.25">
      <c r="A433" s="136" t="str">
        <f>патриотика!A394</f>
        <v xml:space="preserve">Ножницы большие </v>
      </c>
      <c r="B433" s="88" t="s">
        <v>91</v>
      </c>
      <c r="C433" s="257"/>
      <c r="D433" s="181">
        <f>PRODUCT(Лист1!G151,$A$260)</f>
        <v>0.26300000000000001</v>
      </c>
      <c r="E433" s="342">
        <f>Лист1!H151</f>
        <v>140</v>
      </c>
      <c r="F433" s="459">
        <f t="shared" si="19"/>
        <v>36.82</v>
      </c>
      <c r="G433" s="179"/>
      <c r="H433" s="7"/>
      <c r="I433" s="7"/>
      <c r="J433" s="7"/>
      <c r="K433" s="152"/>
      <c r="L433" s="125"/>
      <c r="M433" s="153"/>
    </row>
    <row r="434" spans="1:13" ht="15.75" x14ac:dyDescent="0.25">
      <c r="A434" s="136" t="str">
        <f>патриотика!A395</f>
        <v>Ножницы</v>
      </c>
      <c r="B434" s="88" t="s">
        <v>91</v>
      </c>
      <c r="C434" s="257"/>
      <c r="D434" s="181">
        <f>PRODUCT(Лист1!G152,$A$260)</f>
        <v>2.63</v>
      </c>
      <c r="E434" s="342">
        <f>Лист1!H152</f>
        <v>40</v>
      </c>
      <c r="F434" s="459">
        <f t="shared" si="19"/>
        <v>105.19999999999999</v>
      </c>
      <c r="G434" s="179"/>
      <c r="H434" s="7"/>
      <c r="I434" s="7"/>
      <c r="J434" s="7"/>
      <c r="K434" s="152"/>
      <c r="L434" s="125"/>
      <c r="M434" s="153"/>
    </row>
    <row r="435" spans="1:13" ht="15.75" x14ac:dyDescent="0.25">
      <c r="A435" s="136" t="str">
        <f>патриотика!A396</f>
        <v>Линейка 40 см</v>
      </c>
      <c r="B435" s="88" t="s">
        <v>91</v>
      </c>
      <c r="C435" s="257"/>
      <c r="D435" s="181">
        <f>PRODUCT(Лист1!G153,$A$260)</f>
        <v>0.52600000000000002</v>
      </c>
      <c r="E435" s="342">
        <f>Лист1!H153</f>
        <v>70</v>
      </c>
      <c r="F435" s="459">
        <f t="shared" si="19"/>
        <v>36.82</v>
      </c>
      <c r="G435" s="179"/>
      <c r="H435" s="7"/>
      <c r="I435" s="7"/>
      <c r="J435" s="7"/>
      <c r="K435" s="152"/>
      <c r="L435" s="125"/>
      <c r="M435" s="153"/>
    </row>
    <row r="436" spans="1:13" ht="15.75" x14ac:dyDescent="0.25">
      <c r="A436" s="136" t="str">
        <f>патриотика!A397</f>
        <v>Линейка 30 см</v>
      </c>
      <c r="B436" s="88" t="s">
        <v>91</v>
      </c>
      <c r="C436" s="257"/>
      <c r="D436" s="181">
        <f>PRODUCT(Лист1!G154,$A$260)</f>
        <v>1.3149999999999999</v>
      </c>
      <c r="E436" s="342">
        <f>Лист1!H154</f>
        <v>30</v>
      </c>
      <c r="F436" s="459">
        <f t="shared" si="19"/>
        <v>39.449999999999996</v>
      </c>
      <c r="G436" s="179"/>
      <c r="H436" s="7"/>
      <c r="I436" s="7"/>
      <c r="J436" s="7"/>
      <c r="K436" s="152"/>
      <c r="L436" s="125"/>
      <c r="M436" s="153"/>
    </row>
    <row r="437" spans="1:13" ht="15.75" x14ac:dyDescent="0.25">
      <c r="A437" s="136" t="str">
        <f>патриотика!A398</f>
        <v>Линейка 20 см</v>
      </c>
      <c r="B437" s="88" t="s">
        <v>91</v>
      </c>
      <c r="C437" s="257"/>
      <c r="D437" s="181">
        <f>PRODUCT(Лист1!G155,$A$260)</f>
        <v>1.052</v>
      </c>
      <c r="E437" s="342">
        <f>Лист1!H155</f>
        <v>20</v>
      </c>
      <c r="F437" s="459">
        <f t="shared" si="19"/>
        <v>21.04</v>
      </c>
      <c r="G437" s="179"/>
      <c r="H437" s="7"/>
      <c r="I437" s="7"/>
      <c r="J437" s="7"/>
      <c r="K437" s="152"/>
      <c r="L437" s="125"/>
      <c r="M437" s="153"/>
    </row>
    <row r="438" spans="1:13" ht="15.75" x14ac:dyDescent="0.25">
      <c r="A438" s="136" t="str">
        <f>патриотика!A399</f>
        <v>Маркер черный толстый</v>
      </c>
      <c r="B438" s="88" t="s">
        <v>91</v>
      </c>
      <c r="C438" s="257"/>
      <c r="D438" s="181">
        <f>PRODUCT(Лист1!G156,$A$260)</f>
        <v>0.26300000000000001</v>
      </c>
      <c r="E438" s="342">
        <f>Лист1!H156</f>
        <v>80</v>
      </c>
      <c r="F438" s="459">
        <f t="shared" si="19"/>
        <v>21.04</v>
      </c>
      <c r="G438" s="179"/>
      <c r="H438" s="7"/>
      <c r="I438" s="7"/>
      <c r="J438" s="7"/>
      <c r="K438" s="152"/>
      <c r="L438" s="125"/>
      <c r="M438" s="153"/>
    </row>
    <row r="439" spans="1:13" ht="15.75" x14ac:dyDescent="0.25">
      <c r="A439" s="136" t="str">
        <f>патриотика!A400</f>
        <v>Маркер черный тонкий</v>
      </c>
      <c r="B439" s="88" t="s">
        <v>91</v>
      </c>
      <c r="C439" s="257"/>
      <c r="D439" s="181">
        <f>PRODUCT(Лист1!G157,$A$260)</f>
        <v>2.1040000000000001</v>
      </c>
      <c r="E439" s="342">
        <f>Лист1!H157</f>
        <v>35</v>
      </c>
      <c r="F439" s="459">
        <f t="shared" si="19"/>
        <v>73.64</v>
      </c>
      <c r="G439" s="179"/>
      <c r="H439" s="7"/>
      <c r="I439" s="7"/>
      <c r="J439" s="7"/>
      <c r="K439" s="152"/>
      <c r="L439" s="125"/>
      <c r="M439" s="153"/>
    </row>
    <row r="440" spans="1:13" ht="15.75" x14ac:dyDescent="0.25">
      <c r="A440" s="136" t="str">
        <f>патриотика!A401</f>
        <v>Маркер (набор)</v>
      </c>
      <c r="B440" s="88" t="s">
        <v>91</v>
      </c>
      <c r="C440" s="257"/>
      <c r="D440" s="181">
        <f>PRODUCT(Лист1!G158,$A$260)</f>
        <v>0.26300000000000001</v>
      </c>
      <c r="E440" s="342">
        <f>Лист1!H158</f>
        <v>290</v>
      </c>
      <c r="F440" s="459">
        <f t="shared" si="19"/>
        <v>76.27000000000001</v>
      </c>
      <c r="G440" s="179"/>
      <c r="H440" s="7"/>
      <c r="I440" s="7"/>
      <c r="J440" s="7"/>
      <c r="K440" s="152"/>
      <c r="L440" s="125"/>
      <c r="M440" s="153"/>
    </row>
    <row r="441" spans="1:13" ht="15.75" x14ac:dyDescent="0.25">
      <c r="A441" s="136" t="str">
        <f>патриотика!A402</f>
        <v>Маркер красный</v>
      </c>
      <c r="B441" s="88" t="s">
        <v>91</v>
      </c>
      <c r="C441" s="257"/>
      <c r="D441" s="181">
        <f>PRODUCT(Лист1!G159,$A$260)</f>
        <v>1.052</v>
      </c>
      <c r="E441" s="342">
        <f>Лист1!H159</f>
        <v>50</v>
      </c>
      <c r="F441" s="459">
        <f t="shared" si="19"/>
        <v>52.6</v>
      </c>
      <c r="G441" s="179"/>
      <c r="H441" s="7"/>
      <c r="I441" s="7"/>
      <c r="J441" s="7"/>
      <c r="K441" s="152"/>
      <c r="L441" s="125"/>
      <c r="M441" s="153"/>
    </row>
    <row r="442" spans="1:13" ht="15.75" x14ac:dyDescent="0.25">
      <c r="A442" s="136" t="str">
        <f>патриотика!A403</f>
        <v>Маркер (синий)</v>
      </c>
      <c r="B442" s="88" t="s">
        <v>91</v>
      </c>
      <c r="C442" s="257"/>
      <c r="D442" s="181">
        <f>PRODUCT(Лист1!G160,$A$260)</f>
        <v>0.52600000000000002</v>
      </c>
      <c r="E442" s="342">
        <f>Лист1!H160</f>
        <v>120</v>
      </c>
      <c r="F442" s="459">
        <f t="shared" si="19"/>
        <v>63.120000000000005</v>
      </c>
      <c r="G442" s="179"/>
      <c r="H442" s="7"/>
      <c r="I442" s="7"/>
      <c r="J442" s="7"/>
      <c r="K442" s="152"/>
      <c r="L442" s="125"/>
      <c r="M442" s="153"/>
    </row>
    <row r="443" spans="1:13" ht="15.75" x14ac:dyDescent="0.25">
      <c r="A443" s="136" t="str">
        <f>патриотика!A404</f>
        <v>Клей маленький</v>
      </c>
      <c r="B443" s="88" t="s">
        <v>91</v>
      </c>
      <c r="C443" s="257"/>
      <c r="D443" s="181">
        <f>PRODUCT(Лист1!G161,$A$260)</f>
        <v>2.367</v>
      </c>
      <c r="E443" s="342">
        <f>Лист1!H161</f>
        <v>40</v>
      </c>
      <c r="F443" s="459">
        <f t="shared" si="19"/>
        <v>94.68</v>
      </c>
      <c r="G443" s="179"/>
      <c r="H443" s="7"/>
      <c r="I443" s="7"/>
      <c r="J443" s="7"/>
      <c r="K443" s="152"/>
      <c r="L443" s="125"/>
      <c r="M443" s="153"/>
    </row>
    <row r="444" spans="1:13" ht="15.75" x14ac:dyDescent="0.25">
      <c r="A444" s="136" t="str">
        <f>патриотика!A405</f>
        <v>Клей большой</v>
      </c>
      <c r="B444" s="88" t="s">
        <v>91</v>
      </c>
      <c r="C444" s="257"/>
      <c r="D444" s="181">
        <f>PRODUCT(Лист1!G162,$A$260)</f>
        <v>1.3149999999999999</v>
      </c>
      <c r="E444" s="342">
        <f>Лист1!H162</f>
        <v>60</v>
      </c>
      <c r="F444" s="459">
        <f t="shared" si="19"/>
        <v>78.899999999999991</v>
      </c>
      <c r="G444" s="179"/>
      <c r="H444" s="7"/>
      <c r="I444" s="7"/>
      <c r="J444" s="7"/>
      <c r="K444" s="152"/>
      <c r="L444" s="125"/>
      <c r="M444" s="153"/>
    </row>
    <row r="445" spans="1:13" ht="15.75" x14ac:dyDescent="0.25">
      <c r="A445" s="136" t="str">
        <f>патриотика!A406</f>
        <v>Резак для резки бумаги</v>
      </c>
      <c r="B445" s="88" t="s">
        <v>91</v>
      </c>
      <c r="C445" s="257"/>
      <c r="D445" s="181">
        <f>PRODUCT(Лист1!G163,$A$260)</f>
        <v>0.26300000000000001</v>
      </c>
      <c r="E445" s="342">
        <f>Лист1!H163</f>
        <v>100</v>
      </c>
      <c r="F445" s="459">
        <f t="shared" si="19"/>
        <v>26.3</v>
      </c>
      <c r="G445" s="179"/>
      <c r="H445" s="7"/>
      <c r="I445" s="7"/>
      <c r="J445" s="7"/>
      <c r="K445" s="152"/>
      <c r="L445" s="125"/>
      <c r="M445" s="153"/>
    </row>
    <row r="446" spans="1:13" ht="15.75" x14ac:dyDescent="0.25">
      <c r="A446" s="136" t="str">
        <f>патриотика!A407</f>
        <v>Краска</v>
      </c>
      <c r="B446" s="88" t="s">
        <v>91</v>
      </c>
      <c r="C446" s="257"/>
      <c r="D446" s="181">
        <f>PRODUCT(Лист1!G164,$A$260)</f>
        <v>0.26300000000000001</v>
      </c>
      <c r="E446" s="342">
        <f>Лист1!H164</f>
        <v>140</v>
      </c>
      <c r="F446" s="459">
        <f t="shared" si="19"/>
        <v>36.82</v>
      </c>
      <c r="G446" s="179"/>
      <c r="H446" s="7"/>
      <c r="I446" s="7"/>
      <c r="J446" s="7"/>
      <c r="K446" s="152"/>
      <c r="L446" s="125"/>
      <c r="M446" s="153"/>
    </row>
    <row r="447" spans="1:13" ht="15.75" x14ac:dyDescent="0.25">
      <c r="A447" s="136" t="str">
        <f>патриотика!A408</f>
        <v>Зажим маленький</v>
      </c>
      <c r="B447" s="88" t="s">
        <v>91</v>
      </c>
      <c r="C447" s="257"/>
      <c r="D447" s="181">
        <f>PRODUCT(Лист1!G165,$A$260)</f>
        <v>2.63</v>
      </c>
      <c r="E447" s="342">
        <f>Лист1!H165</f>
        <v>15</v>
      </c>
      <c r="F447" s="459">
        <f t="shared" si="19"/>
        <v>39.449999999999996</v>
      </c>
      <c r="G447" s="179"/>
      <c r="H447" s="7"/>
      <c r="I447" s="7"/>
      <c r="J447" s="7"/>
      <c r="K447" s="152"/>
      <c r="L447" s="125"/>
      <c r="M447" s="153"/>
    </row>
    <row r="448" spans="1:13" ht="15.75" x14ac:dyDescent="0.25">
      <c r="A448" s="136" t="str">
        <f>патриотика!A409</f>
        <v>Зажим большой</v>
      </c>
      <c r="B448" s="88" t="s">
        <v>91</v>
      </c>
      <c r="C448" s="315"/>
      <c r="D448" s="181">
        <f>PRODUCT(Лист1!G166,$A$260)</f>
        <v>2.63</v>
      </c>
      <c r="E448" s="342">
        <f>Лист1!H166</f>
        <v>20</v>
      </c>
      <c r="F448" s="459">
        <f t="shared" si="19"/>
        <v>52.599999999999994</v>
      </c>
      <c r="G448" s="179"/>
      <c r="H448" s="7"/>
      <c r="I448" s="7"/>
      <c r="J448" s="7"/>
      <c r="K448" s="152"/>
      <c r="L448" s="125"/>
      <c r="M448" s="153"/>
    </row>
    <row r="449" spans="1:13" ht="15.75" x14ac:dyDescent="0.25">
      <c r="A449" s="136" t="str">
        <f>патриотика!A410</f>
        <v>Корректор ручка</v>
      </c>
      <c r="B449" s="88" t="s">
        <v>91</v>
      </c>
      <c r="C449" s="315"/>
      <c r="D449" s="181">
        <f>PRODUCT(Лист1!G167,$A$260)</f>
        <v>0.52600000000000002</v>
      </c>
      <c r="E449" s="342">
        <f>Лист1!H167</f>
        <v>80</v>
      </c>
      <c r="F449" s="459">
        <f t="shared" si="19"/>
        <v>42.08</v>
      </c>
      <c r="G449" s="179"/>
      <c r="H449" s="7"/>
      <c r="I449" s="7"/>
      <c r="J449" s="7"/>
      <c r="K449" s="152"/>
      <c r="L449" s="125"/>
      <c r="M449" s="153"/>
    </row>
    <row r="450" spans="1:13" ht="15.75" x14ac:dyDescent="0.25">
      <c r="A450" s="136" t="str">
        <f>патриотика!A411</f>
        <v>Корректор с кистью</v>
      </c>
      <c r="B450" s="88" t="s">
        <v>91</v>
      </c>
      <c r="C450" s="315"/>
      <c r="D450" s="181">
        <f>PRODUCT(Лист1!G168,$A$260)</f>
        <v>0.52600000000000002</v>
      </c>
      <c r="E450" s="342">
        <f>Лист1!H168</f>
        <v>50</v>
      </c>
      <c r="F450" s="459">
        <f t="shared" si="19"/>
        <v>26.3</v>
      </c>
      <c r="G450" s="179"/>
      <c r="H450" s="7"/>
      <c r="I450" s="7"/>
      <c r="J450" s="7"/>
      <c r="K450" s="152"/>
      <c r="L450" s="125"/>
      <c r="M450" s="153"/>
    </row>
    <row r="451" spans="1:13" ht="15.75" x14ac:dyDescent="0.25">
      <c r="A451" s="136" t="str">
        <f>патриотика!A412</f>
        <v>Скотч</v>
      </c>
      <c r="B451" s="88" t="s">
        <v>91</v>
      </c>
      <c r="C451" s="315"/>
      <c r="D451" s="181">
        <f>PRODUCT(Лист1!G169,$A$260)</f>
        <v>1.3149999999999999</v>
      </c>
      <c r="E451" s="342">
        <f>Лист1!H169</f>
        <v>15</v>
      </c>
      <c r="F451" s="459">
        <f t="shared" si="19"/>
        <v>19.724999999999998</v>
      </c>
      <c r="G451" s="179"/>
      <c r="H451" s="7"/>
      <c r="I451" s="7"/>
      <c r="J451" s="7"/>
      <c r="K451" s="152"/>
      <c r="L451" s="125"/>
      <c r="M451" s="153"/>
    </row>
    <row r="452" spans="1:13" ht="15.75" x14ac:dyDescent="0.25">
      <c r="A452" s="136" t="str">
        <f>патриотика!A413</f>
        <v>Нож канцелярский</v>
      </c>
      <c r="B452" s="88" t="s">
        <v>91</v>
      </c>
      <c r="C452" s="315"/>
      <c r="D452" s="181">
        <f>PRODUCT(Лист1!G170,$A$260)</f>
        <v>3.1560000000000001</v>
      </c>
      <c r="E452" s="342">
        <f>Лист1!H170</f>
        <v>50</v>
      </c>
      <c r="F452" s="459">
        <f t="shared" si="19"/>
        <v>157.80000000000001</v>
      </c>
      <c r="G452" s="179"/>
      <c r="H452" s="7"/>
      <c r="I452" s="7"/>
      <c r="J452" s="7"/>
      <c r="K452" s="152"/>
      <c r="L452" s="125"/>
      <c r="M452" s="153"/>
    </row>
    <row r="453" spans="1:13" ht="15.75" x14ac:dyDescent="0.25">
      <c r="A453" s="136" t="str">
        <f>патриотика!A414</f>
        <v>Нитки для сшивания (толстые)</v>
      </c>
      <c r="B453" s="88" t="s">
        <v>91</v>
      </c>
      <c r="C453" s="315"/>
      <c r="D453" s="181">
        <f>PRODUCT(Лист1!G171,$A$260)</f>
        <v>0.26300000000000001</v>
      </c>
      <c r="E453" s="342">
        <f>Лист1!H171</f>
        <v>210</v>
      </c>
      <c r="F453" s="459">
        <f t="shared" si="19"/>
        <v>55.230000000000004</v>
      </c>
      <c r="G453" s="179"/>
      <c r="H453" s="7"/>
      <c r="I453" s="7"/>
      <c r="J453" s="7"/>
      <c r="K453" s="152"/>
      <c r="L453" s="125"/>
      <c r="M453" s="153"/>
    </row>
    <row r="454" spans="1:13" ht="15.75" x14ac:dyDescent="0.25">
      <c r="A454" s="136" t="str">
        <f>патриотика!A415</f>
        <v>Шило</v>
      </c>
      <c r="B454" s="88" t="s">
        <v>91</v>
      </c>
      <c r="C454" s="315"/>
      <c r="D454" s="181">
        <f>PRODUCT(Лист1!G172,$A$260)</f>
        <v>0.26300000000000001</v>
      </c>
      <c r="E454" s="342">
        <f>Лист1!H172</f>
        <v>60</v>
      </c>
      <c r="F454" s="459">
        <f t="shared" si="19"/>
        <v>15.780000000000001</v>
      </c>
      <c r="G454" s="179"/>
      <c r="H454" s="7"/>
      <c r="I454" s="7"/>
      <c r="J454" s="7"/>
      <c r="K454" s="152"/>
      <c r="L454" s="125"/>
      <c r="M454" s="153"/>
    </row>
    <row r="455" spans="1:13" ht="15.75" x14ac:dyDescent="0.25">
      <c r="A455" s="136" t="str">
        <f>патриотика!A416</f>
        <v>Дырокол на 10 листов металл.</v>
      </c>
      <c r="B455" s="88" t="s">
        <v>91</v>
      </c>
      <c r="C455" s="315"/>
      <c r="D455" s="181">
        <f>PRODUCT(Лист1!G173,$A$260)</f>
        <v>1.052</v>
      </c>
      <c r="E455" s="342">
        <f>Лист1!H173</f>
        <v>190</v>
      </c>
      <c r="F455" s="459">
        <f t="shared" si="19"/>
        <v>199.88</v>
      </c>
      <c r="G455" s="179"/>
      <c r="H455" s="7"/>
      <c r="I455" s="7"/>
      <c r="J455" s="7"/>
      <c r="K455" s="152"/>
      <c r="L455" s="125"/>
      <c r="M455" s="153"/>
    </row>
    <row r="456" spans="1:13" ht="15.75" x14ac:dyDescent="0.25">
      <c r="A456" s="136" t="str">
        <f>патриотика!A417</f>
        <v>Дырокол на 70 листов черный</v>
      </c>
      <c r="B456" s="88" t="s">
        <v>91</v>
      </c>
      <c r="C456" s="315"/>
      <c r="D456" s="181">
        <f>PRODUCT(Лист1!G174,$A$260)</f>
        <v>0.26300000000000001</v>
      </c>
      <c r="E456" s="342">
        <f>Лист1!H174</f>
        <v>320</v>
      </c>
      <c r="F456" s="459">
        <f t="shared" si="19"/>
        <v>84.16</v>
      </c>
      <c r="G456" s="179"/>
      <c r="H456" s="7"/>
      <c r="I456" s="7"/>
      <c r="J456" s="7"/>
      <c r="K456" s="152"/>
      <c r="L456" s="125"/>
      <c r="M456" s="153"/>
    </row>
    <row r="457" spans="1:13" ht="15.75" x14ac:dyDescent="0.25">
      <c r="A457" s="136" t="str">
        <f>патриотика!A418</f>
        <v>Карандаш простой</v>
      </c>
      <c r="B457" s="88" t="s">
        <v>91</v>
      </c>
      <c r="C457" s="315"/>
      <c r="D457" s="181">
        <f>PRODUCT(Лист1!G175,$A$260)</f>
        <v>2.63</v>
      </c>
      <c r="E457" s="342">
        <f>Лист1!H175</f>
        <v>20</v>
      </c>
      <c r="F457" s="459">
        <f t="shared" si="19"/>
        <v>52.599999999999994</v>
      </c>
      <c r="G457" s="179"/>
      <c r="H457" s="7"/>
      <c r="I457" s="7"/>
      <c r="J457" s="7"/>
      <c r="K457" s="152"/>
      <c r="L457" s="125"/>
      <c r="M457" s="153"/>
    </row>
    <row r="458" spans="1:13" ht="15.75" x14ac:dyDescent="0.25">
      <c r="A458" s="136" t="str">
        <f>патриотика!A419</f>
        <v>Ручка</v>
      </c>
      <c r="B458" s="88" t="s">
        <v>91</v>
      </c>
      <c r="C458" s="315"/>
      <c r="D458" s="181">
        <f>PRODUCT(Лист1!G176,$A$260)</f>
        <v>0.26300000000000001</v>
      </c>
      <c r="E458" s="342">
        <f>Лист1!H176</f>
        <v>20</v>
      </c>
      <c r="F458" s="459">
        <f t="shared" si="19"/>
        <v>5.26</v>
      </c>
      <c r="G458" s="179"/>
      <c r="H458" s="7"/>
      <c r="I458" s="7"/>
      <c r="J458" s="7"/>
      <c r="K458" s="152"/>
      <c r="L458" s="125"/>
      <c r="M458" s="153"/>
    </row>
    <row r="459" spans="1:13" ht="15.75" x14ac:dyDescent="0.25">
      <c r="A459" s="136" t="str">
        <f>патриотика!A420</f>
        <v>Полотенце</v>
      </c>
      <c r="B459" s="88" t="s">
        <v>91</v>
      </c>
      <c r="C459" s="315"/>
      <c r="D459" s="181">
        <f>PRODUCT(Лист1!G177,$A$260)</f>
        <v>1.3149999999999999</v>
      </c>
      <c r="E459" s="342">
        <f>Лист1!H177</f>
        <v>110</v>
      </c>
      <c r="F459" s="459">
        <f t="shared" si="19"/>
        <v>144.65</v>
      </c>
      <c r="G459" s="179"/>
      <c r="H459" s="7"/>
      <c r="I459" s="7"/>
      <c r="J459" s="7"/>
      <c r="K459" s="152"/>
      <c r="L459" s="125"/>
      <c r="M459" s="153"/>
    </row>
    <row r="460" spans="1:13" ht="15.75" x14ac:dyDescent="0.25">
      <c r="A460" s="136" t="str">
        <f>патриотика!A421</f>
        <v>Комплект веник-совок</v>
      </c>
      <c r="B460" s="88" t="s">
        <v>91</v>
      </c>
      <c r="C460" s="315"/>
      <c r="D460" s="181">
        <f>PRODUCT(Лист1!G178,$A$260)</f>
        <v>0.78900000000000003</v>
      </c>
      <c r="E460" s="342">
        <f>Лист1!H178</f>
        <v>450</v>
      </c>
      <c r="F460" s="459">
        <f t="shared" si="19"/>
        <v>355.05</v>
      </c>
      <c r="G460" s="179"/>
      <c r="H460" s="7"/>
      <c r="I460" s="7"/>
      <c r="J460" s="7"/>
      <c r="K460" s="152"/>
      <c r="L460" s="125"/>
      <c r="M460" s="153"/>
    </row>
    <row r="461" spans="1:13" ht="15.75" x14ac:dyDescent="0.25">
      <c r="A461" s="136" t="str">
        <f>патриотика!A422</f>
        <v>Насадки на швабру</v>
      </c>
      <c r="B461" s="88" t="s">
        <v>91</v>
      </c>
      <c r="C461" s="315"/>
      <c r="D461" s="181">
        <f>PRODUCT(Лист1!G179,$A$260)</f>
        <v>1.052</v>
      </c>
      <c r="E461" s="342">
        <f>Лист1!H179</f>
        <v>100</v>
      </c>
      <c r="F461" s="459">
        <f t="shared" si="19"/>
        <v>105.2</v>
      </c>
      <c r="G461" s="179"/>
      <c r="H461" s="7"/>
      <c r="I461" s="7"/>
      <c r="J461" s="7"/>
      <c r="K461" s="152"/>
      <c r="L461" s="125"/>
      <c r="M461" s="153"/>
    </row>
    <row r="462" spans="1:13" ht="15.75" x14ac:dyDescent="0.25">
      <c r="A462" s="136" t="str">
        <f>патриотика!A423</f>
        <v>Бумага Svetocopy</v>
      </c>
      <c r="B462" s="88" t="s">
        <v>91</v>
      </c>
      <c r="C462" s="315"/>
      <c r="D462" s="181">
        <f>PRODUCT(Лист1!G180,$A$260)</f>
        <v>7.8900000000000006</v>
      </c>
      <c r="E462" s="342">
        <f>Лист1!H180</f>
        <v>310</v>
      </c>
      <c r="F462" s="459">
        <f t="shared" si="19"/>
        <v>2445.9</v>
      </c>
      <c r="G462" s="179"/>
      <c r="H462" s="7"/>
      <c r="I462" s="7"/>
      <c r="J462" s="7"/>
      <c r="K462" s="152"/>
      <c r="L462" s="125"/>
      <c r="M462" s="153"/>
    </row>
    <row r="463" spans="1:13" ht="15.75" x14ac:dyDescent="0.25">
      <c r="A463" s="136" t="str">
        <f>патриотика!A424</f>
        <v>Папка накопитель</v>
      </c>
      <c r="B463" s="88" t="s">
        <v>91</v>
      </c>
      <c r="C463" s="315"/>
      <c r="D463" s="181">
        <f>PRODUCT(Лист1!G181,$A$260)</f>
        <v>0.26300000000000001</v>
      </c>
      <c r="E463" s="342">
        <f>Лист1!H181</f>
        <v>45</v>
      </c>
      <c r="F463" s="459">
        <f t="shared" ref="F463:F508" si="20">D463*E463</f>
        <v>11.835000000000001</v>
      </c>
      <c r="G463" s="179"/>
      <c r="H463" s="7"/>
      <c r="I463" s="7"/>
      <c r="J463" s="7"/>
      <c r="K463" s="152"/>
      <c r="L463" s="125"/>
      <c r="M463" s="153"/>
    </row>
    <row r="464" spans="1:13" ht="15.75" x14ac:dyDescent="0.25">
      <c r="A464" s="136" t="str">
        <f>патриотика!A425</f>
        <v>Набор пил колец</v>
      </c>
      <c r="B464" s="88" t="s">
        <v>91</v>
      </c>
      <c r="C464" s="315"/>
      <c r="D464" s="181">
        <f>PRODUCT(Лист1!G182,$A$260)</f>
        <v>0.26300000000000001</v>
      </c>
      <c r="E464" s="342">
        <f>Лист1!H182</f>
        <v>595</v>
      </c>
      <c r="F464" s="459">
        <f t="shared" si="20"/>
        <v>156.48500000000001</v>
      </c>
      <c r="G464" s="179"/>
      <c r="H464" s="7"/>
      <c r="I464" s="7"/>
      <c r="J464" s="7"/>
      <c r="K464" s="152"/>
      <c r="L464" s="125"/>
      <c r="M464" s="153"/>
    </row>
    <row r="465" spans="1:13" ht="15.75" x14ac:dyDescent="0.25">
      <c r="A465" s="136" t="str">
        <f>патриотика!A426</f>
        <v>Клей</v>
      </c>
      <c r="B465" s="88" t="s">
        <v>91</v>
      </c>
      <c r="C465" s="257"/>
      <c r="D465" s="181">
        <f>PRODUCT(Лист1!G183,$A$260)</f>
        <v>0.26300000000000001</v>
      </c>
      <c r="E465" s="342">
        <f>Лист1!H183</f>
        <v>175</v>
      </c>
      <c r="F465" s="459">
        <f t="shared" si="20"/>
        <v>46.024999999999999</v>
      </c>
      <c r="G465" s="179"/>
      <c r="H465" s="7"/>
      <c r="I465" s="7"/>
      <c r="J465" s="7"/>
      <c r="K465" s="152"/>
      <c r="L465" s="125"/>
      <c r="M465" s="153"/>
    </row>
    <row r="466" spans="1:13" ht="15.75" x14ac:dyDescent="0.25">
      <c r="A466" s="136" t="str">
        <f>патриотика!A427</f>
        <v>Крышка горловины</v>
      </c>
      <c r="B466" s="88" t="s">
        <v>91</v>
      </c>
      <c r="C466" s="257"/>
      <c r="D466" s="181">
        <f>PRODUCT(Лист1!G184,$A$260)</f>
        <v>0.52600000000000002</v>
      </c>
      <c r="E466" s="342">
        <f>Лист1!H184</f>
        <v>80</v>
      </c>
      <c r="F466" s="459">
        <f t="shared" si="20"/>
        <v>42.08</v>
      </c>
      <c r="G466" s="179"/>
      <c r="H466" s="7"/>
      <c r="I466" s="7"/>
      <c r="J466" s="7"/>
      <c r="K466" s="152"/>
      <c r="L466" s="125"/>
      <c r="M466" s="153"/>
    </row>
    <row r="467" spans="1:13" ht="15.75" x14ac:dyDescent="0.25">
      <c r="A467" s="136" t="str">
        <f>патриотика!A428</f>
        <v>папка скоросшиватель</v>
      </c>
      <c r="B467" s="88" t="s">
        <v>91</v>
      </c>
      <c r="C467" s="257"/>
      <c r="D467" s="181">
        <f>PRODUCT(Лист1!G185,$A$260)</f>
        <v>2.63</v>
      </c>
      <c r="E467" s="342">
        <f>Лист1!H185</f>
        <v>15</v>
      </c>
      <c r="F467" s="459">
        <f t="shared" si="20"/>
        <v>39.449999999999996</v>
      </c>
      <c r="G467" s="179"/>
      <c r="H467" s="7"/>
      <c r="I467" s="7"/>
      <c r="J467" s="7"/>
      <c r="K467" s="152"/>
      <c r="L467" s="125"/>
      <c r="M467" s="153"/>
    </row>
    <row r="468" spans="1:13" ht="15.75" x14ac:dyDescent="0.25">
      <c r="A468" s="136" t="str">
        <f>патриотика!A429</f>
        <v>Прессвол РОР-АР 3,5*2,3м</v>
      </c>
      <c r="B468" s="88" t="s">
        <v>91</v>
      </c>
      <c r="C468" s="257"/>
      <c r="D468" s="181">
        <f>PRODUCT(Лист1!G186,$A$260)</f>
        <v>0.26300000000000001</v>
      </c>
      <c r="E468" s="342">
        <f>Лист1!H186</f>
        <v>25000</v>
      </c>
      <c r="F468" s="459">
        <f t="shared" si="20"/>
        <v>6575</v>
      </c>
      <c r="G468" s="179"/>
      <c r="H468" s="7"/>
      <c r="I468" s="7"/>
      <c r="J468" s="7"/>
      <c r="K468" s="152"/>
      <c r="L468" s="125"/>
      <c r="M468" s="153"/>
    </row>
    <row r="469" spans="1:13" ht="15.75" x14ac:dyDescent="0.25">
      <c r="A469" s="136" t="str">
        <f>патриотика!A430</f>
        <v>плинтус кабель-канал</v>
      </c>
      <c r="B469" s="88" t="s">
        <v>91</v>
      </c>
      <c r="C469" s="257"/>
      <c r="D469" s="181">
        <f>PRODUCT(Лист1!G187,$A$260)</f>
        <v>0.78900000000000003</v>
      </c>
      <c r="E469" s="342">
        <f>Лист1!H187</f>
        <v>70</v>
      </c>
      <c r="F469" s="459">
        <f t="shared" si="20"/>
        <v>55.230000000000004</v>
      </c>
      <c r="G469" s="179"/>
      <c r="H469" s="7"/>
      <c r="I469" s="7"/>
      <c r="J469" s="7"/>
      <c r="K469" s="152"/>
      <c r="L469" s="125"/>
      <c r="M469" s="153"/>
    </row>
    <row r="470" spans="1:13" ht="15.75" x14ac:dyDescent="0.25">
      <c r="A470" s="136" t="str">
        <f>патриотика!A431</f>
        <v>валик малярный L</v>
      </c>
      <c r="B470" s="88" t="s">
        <v>91</v>
      </c>
      <c r="C470" s="257"/>
      <c r="D470" s="181">
        <f>PRODUCT(Лист1!G188,$A$260)</f>
        <v>0.52600000000000002</v>
      </c>
      <c r="E470" s="342">
        <f>Лист1!H188</f>
        <v>134</v>
      </c>
      <c r="F470" s="459">
        <f t="shared" si="20"/>
        <v>70.484000000000009</v>
      </c>
      <c r="G470" s="179"/>
      <c r="H470" s="7"/>
      <c r="I470" s="7"/>
      <c r="J470" s="7"/>
      <c r="K470" s="152"/>
      <c r="L470" s="125"/>
      <c r="M470" s="153"/>
    </row>
    <row r="471" spans="1:13" ht="15.75" x14ac:dyDescent="0.25">
      <c r="A471" s="136" t="str">
        <f>патриотика!A432</f>
        <v>валик малярный профи</v>
      </c>
      <c r="B471" s="88" t="s">
        <v>91</v>
      </c>
      <c r="C471" s="257"/>
      <c r="D471" s="181">
        <f>PRODUCT(Лист1!G189,$A$260)</f>
        <v>0.52600000000000002</v>
      </c>
      <c r="E471" s="342">
        <f>Лист1!H189</f>
        <v>142</v>
      </c>
      <c r="F471" s="459">
        <f t="shared" si="20"/>
        <v>74.692000000000007</v>
      </c>
      <c r="G471" s="179"/>
      <c r="H471" s="7"/>
      <c r="I471" s="7"/>
      <c r="J471" s="7"/>
      <c r="K471" s="152"/>
      <c r="L471" s="125"/>
      <c r="M471" s="153"/>
    </row>
    <row r="472" spans="1:13" ht="14.25" customHeight="1" x14ac:dyDescent="0.25">
      <c r="A472" s="136" t="str">
        <f>патриотика!A433</f>
        <v>кабель-канал</v>
      </c>
      <c r="B472" s="88" t="s">
        <v>91</v>
      </c>
      <c r="C472" s="257"/>
      <c r="D472" s="181">
        <f>PRODUCT(Лист1!G190,$A$260)</f>
        <v>1.3149999999999999</v>
      </c>
      <c r="E472" s="342">
        <f>Лист1!H190</f>
        <v>62</v>
      </c>
      <c r="F472" s="459">
        <f t="shared" si="20"/>
        <v>81.53</v>
      </c>
      <c r="G472" s="179"/>
      <c r="H472" s="7"/>
      <c r="I472" s="7"/>
      <c r="J472" s="7"/>
      <c r="K472" s="152"/>
      <c r="L472" s="125"/>
      <c r="M472" s="153"/>
    </row>
    <row r="473" spans="1:13" ht="14.25" customHeight="1" x14ac:dyDescent="0.25">
      <c r="A473" s="136" t="str">
        <f>патриотика!A434</f>
        <v>ванночка малярная</v>
      </c>
      <c r="B473" s="88" t="s">
        <v>91</v>
      </c>
      <c r="C473" s="257"/>
      <c r="D473" s="181">
        <f>PRODUCT(Лист1!G191,$A$260)</f>
        <v>0.52600000000000002</v>
      </c>
      <c r="E473" s="342">
        <f>Лист1!H191</f>
        <v>50</v>
      </c>
      <c r="F473" s="459">
        <f t="shared" si="20"/>
        <v>26.3</v>
      </c>
      <c r="G473" s="179"/>
      <c r="H473" s="7"/>
      <c r="I473" s="7"/>
      <c r="J473" s="7"/>
      <c r="K473" s="152"/>
      <c r="L473" s="125"/>
      <c r="M473" s="153"/>
    </row>
    <row r="474" spans="1:13" ht="14.25" customHeight="1" x14ac:dyDescent="0.25">
      <c r="A474" s="136" t="str">
        <f>патриотика!A435</f>
        <v>шайба крановая</v>
      </c>
      <c r="B474" s="88" t="s">
        <v>91</v>
      </c>
      <c r="C474" s="257"/>
      <c r="D474" s="181">
        <f>PRODUCT(Лист1!G192,$A$260)</f>
        <v>5.26</v>
      </c>
      <c r="E474" s="342">
        <f>Лист1!H192</f>
        <v>0.3</v>
      </c>
      <c r="F474" s="459">
        <f t="shared" si="20"/>
        <v>1.5779999999999998</v>
      </c>
      <c r="G474" s="179"/>
      <c r="H474" s="7"/>
      <c r="I474" s="7"/>
      <c r="J474" s="7"/>
      <c r="K474" s="152"/>
      <c r="L474" s="125"/>
      <c r="M474" s="153"/>
    </row>
    <row r="475" spans="1:13" ht="14.25" customHeight="1" x14ac:dyDescent="0.25">
      <c r="A475" s="136" t="str">
        <f>патриотика!A436</f>
        <v>эмаль аэрозоль</v>
      </c>
      <c r="B475" s="88" t="s">
        <v>91</v>
      </c>
      <c r="C475" s="257"/>
      <c r="D475" s="181">
        <f>PRODUCT(Лист1!G193,$A$260)</f>
        <v>0.52600000000000002</v>
      </c>
      <c r="E475" s="342">
        <f>Лист1!H193</f>
        <v>193</v>
      </c>
      <c r="F475" s="459">
        <f t="shared" si="20"/>
        <v>101.518</v>
      </c>
      <c r="G475" s="179"/>
      <c r="H475" s="7"/>
      <c r="I475" s="7"/>
      <c r="J475" s="7"/>
      <c r="K475" s="152"/>
      <c r="L475" s="125"/>
      <c r="M475" s="153"/>
    </row>
    <row r="476" spans="1:13" ht="14.25" customHeight="1" x14ac:dyDescent="0.25">
      <c r="A476" s="136" t="str">
        <f>патриотика!A437</f>
        <v>Папка-регистратор</v>
      </c>
      <c r="B476" s="88" t="s">
        <v>91</v>
      </c>
      <c r="C476" s="257"/>
      <c r="D476" s="181">
        <f>PRODUCT(Лист1!G194,$A$260)</f>
        <v>5.7860000000000005</v>
      </c>
      <c r="E476" s="342">
        <f>Лист1!H194</f>
        <v>190</v>
      </c>
      <c r="F476" s="459">
        <f t="shared" si="20"/>
        <v>1099.3400000000001</v>
      </c>
      <c r="G476" s="179"/>
      <c r="H476" s="7"/>
      <c r="I476" s="7"/>
      <c r="J476" s="7"/>
      <c r="K476" s="152"/>
      <c r="L476" s="125"/>
      <c r="M476" s="153"/>
    </row>
    <row r="477" spans="1:13" ht="14.25" customHeight="1" x14ac:dyDescent="0.25">
      <c r="A477" s="136" t="str">
        <f>патриотика!A438</f>
        <v>Блок питания</v>
      </c>
      <c r="B477" s="88" t="s">
        <v>91</v>
      </c>
      <c r="C477" s="257"/>
      <c r="D477" s="181">
        <f>PRODUCT(Лист1!G195,$A$260)</f>
        <v>0.26300000000000001</v>
      </c>
      <c r="E477" s="342">
        <f>Лист1!H195</f>
        <v>8330</v>
      </c>
      <c r="F477" s="459">
        <f t="shared" si="20"/>
        <v>2190.79</v>
      </c>
      <c r="G477" s="179"/>
      <c r="H477" s="7"/>
      <c r="I477" s="7"/>
      <c r="J477" s="7"/>
      <c r="K477" s="152"/>
      <c r="L477" s="125"/>
      <c r="M477" s="153"/>
    </row>
    <row r="478" spans="1:13" ht="14.25" customHeight="1" x14ac:dyDescent="0.25">
      <c r="A478" s="136" t="str">
        <f>патриотика!A439</f>
        <v>Кабель</v>
      </c>
      <c r="B478" s="88" t="s">
        <v>91</v>
      </c>
      <c r="C478" s="257"/>
      <c r="D478" s="181">
        <f>PRODUCT(Лист1!G196,$A$260)</f>
        <v>0.78900000000000003</v>
      </c>
      <c r="E478" s="342">
        <f>Лист1!H196</f>
        <v>2570</v>
      </c>
      <c r="F478" s="459">
        <f t="shared" si="20"/>
        <v>2027.73</v>
      </c>
      <c r="G478" s="179"/>
      <c r="H478" s="7"/>
      <c r="I478" s="7"/>
      <c r="J478" s="7"/>
      <c r="K478" s="152"/>
      <c r="L478" s="125"/>
      <c r="M478" s="153"/>
    </row>
    <row r="479" spans="1:13" ht="14.25" customHeight="1" x14ac:dyDescent="0.25">
      <c r="A479" s="136" t="str">
        <f>патриотика!A440</f>
        <v>Карта памяти</v>
      </c>
      <c r="B479" s="88" t="s">
        <v>91</v>
      </c>
      <c r="C479" s="257"/>
      <c r="D479" s="181">
        <f>PRODUCT(Лист1!G197,$A$260)</f>
        <v>0.52600000000000002</v>
      </c>
      <c r="E479" s="342">
        <f>Лист1!H197</f>
        <v>3700</v>
      </c>
      <c r="F479" s="459">
        <f t="shared" si="20"/>
        <v>1946.2</v>
      </c>
      <c r="G479" s="179"/>
      <c r="H479" s="7"/>
      <c r="I479" s="7"/>
      <c r="J479" s="7"/>
      <c r="K479" s="152"/>
      <c r="L479" s="125"/>
      <c r="M479" s="153"/>
    </row>
    <row r="480" spans="1:13" ht="14.25" customHeight="1" x14ac:dyDescent="0.25">
      <c r="A480" s="136" t="str">
        <f>патриотика!A441</f>
        <v>Кабель</v>
      </c>
      <c r="B480" s="88" t="s">
        <v>91</v>
      </c>
      <c r="C480" s="257"/>
      <c r="D480" s="181">
        <f>PRODUCT(Лист1!G198,$A$260)</f>
        <v>0.26300000000000001</v>
      </c>
      <c r="E480" s="342">
        <f>Лист1!H198</f>
        <v>1990</v>
      </c>
      <c r="F480" s="459">
        <f t="shared" si="20"/>
        <v>523.37</v>
      </c>
      <c r="G480" s="179"/>
      <c r="H480" s="7"/>
      <c r="I480" s="7"/>
      <c r="J480" s="7"/>
      <c r="K480" s="152"/>
      <c r="L480" s="125"/>
      <c r="M480" s="153"/>
    </row>
    <row r="481" spans="1:13" ht="14.25" customHeight="1" x14ac:dyDescent="0.25">
      <c r="A481" s="136" t="str">
        <f>патриотика!A442</f>
        <v>Бумага Lomond 230</v>
      </c>
      <c r="B481" s="88" t="s">
        <v>91</v>
      </c>
      <c r="C481" s="257"/>
      <c r="D481" s="181">
        <f>PRODUCT(Лист1!G199,$A$260)</f>
        <v>0.52600000000000002</v>
      </c>
      <c r="E481" s="342">
        <f>Лист1!H199</f>
        <v>430</v>
      </c>
      <c r="F481" s="459">
        <f t="shared" si="20"/>
        <v>226.18</v>
      </c>
      <c r="G481" s="179"/>
      <c r="H481" s="7"/>
      <c r="I481" s="7"/>
      <c r="J481" s="7"/>
      <c r="K481" s="152"/>
      <c r="L481" s="125"/>
      <c r="M481" s="153"/>
    </row>
    <row r="482" spans="1:13" ht="14.25" customHeight="1" x14ac:dyDescent="0.25">
      <c r="A482" s="136" t="str">
        <f>патриотика!A443</f>
        <v>Бумага Lomond 140</v>
      </c>
      <c r="B482" s="88" t="s">
        <v>91</v>
      </c>
      <c r="C482" s="257"/>
      <c r="D482" s="181">
        <f>PRODUCT(Лист1!G200,$A$260)</f>
        <v>0.52600000000000002</v>
      </c>
      <c r="E482" s="342">
        <f>Лист1!H200</f>
        <v>870</v>
      </c>
      <c r="F482" s="459">
        <f t="shared" si="20"/>
        <v>457.62</v>
      </c>
      <c r="G482" s="179"/>
      <c r="H482" s="7"/>
      <c r="I482" s="7"/>
      <c r="J482" s="7"/>
      <c r="K482" s="152"/>
      <c r="L482" s="125"/>
      <c r="M482" s="153"/>
    </row>
    <row r="483" spans="1:13" ht="14.25" customHeight="1" x14ac:dyDescent="0.25">
      <c r="A483" s="136" t="str">
        <f>патриотика!A444</f>
        <v>Бумага Lomond 200</v>
      </c>
      <c r="B483" s="88" t="s">
        <v>91</v>
      </c>
      <c r="C483" s="257"/>
      <c r="D483" s="181">
        <f>PRODUCT(Лист1!G201,$A$260)</f>
        <v>0.52600000000000002</v>
      </c>
      <c r="E483" s="342">
        <f>Лист1!H201</f>
        <v>580</v>
      </c>
      <c r="F483" s="459">
        <f t="shared" si="20"/>
        <v>305.08000000000004</v>
      </c>
      <c r="G483" s="179"/>
      <c r="H483" s="7"/>
      <c r="I483" s="7"/>
      <c r="J483" s="7"/>
      <c r="K483" s="152"/>
      <c r="L483" s="125"/>
      <c r="M483" s="153"/>
    </row>
    <row r="484" spans="1:13" ht="14.25" customHeight="1" x14ac:dyDescent="0.25">
      <c r="A484" s="136" t="str">
        <f>патриотика!A445</f>
        <v>Бумага Cactus 180</v>
      </c>
      <c r="B484" s="88" t="s">
        <v>91</v>
      </c>
      <c r="C484" s="257"/>
      <c r="D484" s="181">
        <f>PRODUCT(Лист1!G202,$A$260)</f>
        <v>0.52600000000000002</v>
      </c>
      <c r="E484" s="342">
        <f>Лист1!H202</f>
        <v>760</v>
      </c>
      <c r="F484" s="459">
        <f t="shared" si="20"/>
        <v>399.76</v>
      </c>
      <c r="G484" s="179"/>
      <c r="H484" s="7"/>
      <c r="I484" s="7"/>
      <c r="J484" s="7"/>
      <c r="K484" s="152"/>
      <c r="L484" s="125"/>
      <c r="M484" s="153"/>
    </row>
    <row r="485" spans="1:13" ht="15.75" x14ac:dyDescent="0.25">
      <c r="A485" s="136" t="str">
        <f>патриотика!A446</f>
        <v>Бумага Cactus 230</v>
      </c>
      <c r="B485" s="88" t="s">
        <v>91</v>
      </c>
      <c r="C485" s="257"/>
      <c r="D485" s="181">
        <f>PRODUCT(Лист1!G203,$A$260)</f>
        <v>0.52600000000000002</v>
      </c>
      <c r="E485" s="342">
        <f>Лист1!H203</f>
        <v>810</v>
      </c>
      <c r="F485" s="459">
        <f t="shared" si="20"/>
        <v>426.06</v>
      </c>
      <c r="G485" s="179"/>
      <c r="H485" s="7"/>
      <c r="I485" s="7"/>
      <c r="J485" s="7"/>
      <c r="K485" s="152"/>
      <c r="L485" s="125"/>
      <c r="M485" s="153"/>
    </row>
    <row r="486" spans="1:13" ht="15.75" x14ac:dyDescent="0.25">
      <c r="A486" s="136" t="str">
        <f>патриотика!A447</f>
        <v>Бумага офисная А3</v>
      </c>
      <c r="B486" s="88" t="s">
        <v>91</v>
      </c>
      <c r="C486" s="257"/>
      <c r="D486" s="181">
        <f>PRODUCT(Лист1!G204,$A$260)</f>
        <v>1.3149999999999999</v>
      </c>
      <c r="E486" s="342">
        <f>Лист1!H204</f>
        <v>480</v>
      </c>
      <c r="F486" s="459">
        <f t="shared" si="20"/>
        <v>631.19999999999993</v>
      </c>
      <c r="G486" s="179"/>
      <c r="H486" s="7"/>
      <c r="I486" s="7"/>
      <c r="J486" s="7"/>
      <c r="K486" s="152"/>
      <c r="L486" s="125"/>
      <c r="M486" s="153"/>
    </row>
    <row r="487" spans="1:13" ht="15.75" x14ac:dyDescent="0.25">
      <c r="A487" s="136" t="str">
        <f>патриотика!A448</f>
        <v>Бумага Lomond А3</v>
      </c>
      <c r="B487" s="88" t="s">
        <v>91</v>
      </c>
      <c r="C487" s="257"/>
      <c r="D487" s="181">
        <f>PRODUCT(Лист1!G205,$A$260)</f>
        <v>1.052</v>
      </c>
      <c r="E487" s="342">
        <f>Лист1!H205</f>
        <v>1280</v>
      </c>
      <c r="F487" s="459">
        <f t="shared" si="20"/>
        <v>1346.56</v>
      </c>
      <c r="G487" s="179"/>
      <c r="H487" s="7"/>
      <c r="I487" s="7"/>
      <c r="J487" s="7"/>
      <c r="K487" s="152"/>
      <c r="L487" s="125"/>
      <c r="M487" s="153"/>
    </row>
    <row r="488" spans="1:13" ht="15.75" x14ac:dyDescent="0.25">
      <c r="A488" s="136" t="str">
        <f>патриотика!A449</f>
        <v>Папка-регистратор</v>
      </c>
      <c r="B488" s="88" t="s">
        <v>91</v>
      </c>
      <c r="C488" s="257"/>
      <c r="D488" s="181">
        <f>PRODUCT(Лист1!G206,$A$260)</f>
        <v>2.63</v>
      </c>
      <c r="E488" s="342">
        <f>Лист1!H206</f>
        <v>190</v>
      </c>
      <c r="F488" s="459">
        <f t="shared" si="20"/>
        <v>499.7</v>
      </c>
      <c r="G488" s="179"/>
      <c r="H488" s="7"/>
      <c r="I488" s="7"/>
      <c r="J488" s="7"/>
      <c r="K488" s="152"/>
      <c r="L488" s="125"/>
      <c r="M488" s="153"/>
    </row>
    <row r="489" spans="1:13" ht="15.75" x14ac:dyDescent="0.25">
      <c r="A489" s="136" t="str">
        <f>патриотика!A450</f>
        <v>Блокнот для флипчарта</v>
      </c>
      <c r="B489" s="88" t="s">
        <v>91</v>
      </c>
      <c r="C489" s="257"/>
      <c r="D489" s="181">
        <f>PRODUCT(Лист1!G207,$A$260)</f>
        <v>1.3149999999999999</v>
      </c>
      <c r="E489" s="342">
        <f>Лист1!H207</f>
        <v>680</v>
      </c>
      <c r="F489" s="459">
        <f t="shared" si="20"/>
        <v>894.19999999999993</v>
      </c>
      <c r="G489" s="179"/>
      <c r="H489" s="7"/>
      <c r="I489" s="7"/>
      <c r="J489" s="7"/>
      <c r="K489" s="152"/>
      <c r="L489" s="125"/>
      <c r="M489" s="153"/>
    </row>
    <row r="490" spans="1:13" ht="15.75" x14ac:dyDescent="0.25">
      <c r="A490" s="136" t="str">
        <f>патриотика!A451</f>
        <v>Чернила для заправки комплект</v>
      </c>
      <c r="B490" s="88" t="s">
        <v>91</v>
      </c>
      <c r="C490" s="257"/>
      <c r="D490" s="181">
        <f>PRODUCT(Лист1!G208,$A$260)</f>
        <v>1.052</v>
      </c>
      <c r="E490" s="342">
        <f>Лист1!H208</f>
        <v>900</v>
      </c>
      <c r="F490" s="459">
        <f t="shared" si="20"/>
        <v>946.80000000000007</v>
      </c>
      <c r="G490" s="179"/>
      <c r="H490" s="7"/>
      <c r="I490" s="7"/>
      <c r="J490" s="7"/>
      <c r="K490" s="152"/>
      <c r="L490" s="125"/>
      <c r="M490" s="153"/>
    </row>
    <row r="491" spans="1:13" ht="15.75" x14ac:dyDescent="0.25">
      <c r="A491" s="136" t="str">
        <f>патриотика!A452</f>
        <v>Картридж НР С2Р42АЕ</v>
      </c>
      <c r="B491" s="88" t="s">
        <v>91</v>
      </c>
      <c r="C491" s="257"/>
      <c r="D491" s="181">
        <f>PRODUCT(Лист1!G209,$A$260)</f>
        <v>0.52600000000000002</v>
      </c>
      <c r="E491" s="473">
        <f>Лист1!H209</f>
        <v>4800</v>
      </c>
      <c r="F491" s="459">
        <f t="shared" si="20"/>
        <v>2524.8000000000002</v>
      </c>
      <c r="G491" s="179"/>
      <c r="H491" s="7"/>
      <c r="I491" s="7"/>
      <c r="J491" s="7"/>
      <c r="K491" s="152"/>
      <c r="L491" s="125"/>
      <c r="M491" s="153"/>
    </row>
    <row r="492" spans="1:13" ht="15.75" x14ac:dyDescent="0.25">
      <c r="A492" s="136" t="str">
        <f>патриотика!A453</f>
        <v xml:space="preserve">Лампады </v>
      </c>
      <c r="B492" s="88" t="s">
        <v>91</v>
      </c>
      <c r="C492" s="257"/>
      <c r="D492" s="181">
        <f>PRODUCT(Лист1!G210,$A$260)</f>
        <v>7.8900000000000006</v>
      </c>
      <c r="E492" s="473">
        <f>Лист1!H210</f>
        <v>60</v>
      </c>
      <c r="F492" s="459">
        <f t="shared" si="20"/>
        <v>473.40000000000003</v>
      </c>
      <c r="G492" s="179"/>
      <c r="H492" s="7"/>
      <c r="I492" s="7"/>
      <c r="J492" s="7"/>
      <c r="K492" s="152"/>
      <c r="L492" s="125"/>
      <c r="M492" s="153"/>
    </row>
    <row r="493" spans="1:13" ht="15.75" x14ac:dyDescent="0.25">
      <c r="A493" s="136" t="str">
        <f>патриотика!A454</f>
        <v>Георгиевская лента 100м</v>
      </c>
      <c r="B493" s="88" t="s">
        <v>91</v>
      </c>
      <c r="C493" s="257"/>
      <c r="D493" s="181">
        <f>PRODUCT(Лист1!G211,$A$260)</f>
        <v>0.26300000000000001</v>
      </c>
      <c r="E493" s="473">
        <f>Лист1!H211</f>
        <v>1200</v>
      </c>
      <c r="F493" s="459">
        <f t="shared" si="20"/>
        <v>315.60000000000002</v>
      </c>
      <c r="G493" s="179"/>
      <c r="H493" s="7"/>
      <c r="I493" s="7"/>
      <c r="J493" s="7"/>
      <c r="K493" s="152"/>
      <c r="L493" s="125"/>
      <c r="M493" s="153"/>
    </row>
    <row r="494" spans="1:13" ht="15.75" x14ac:dyDescent="0.25">
      <c r="A494" s="136" t="str">
        <f>патриотика!A455</f>
        <v>Саморез со сверлом</v>
      </c>
      <c r="B494" s="88" t="s">
        <v>91</v>
      </c>
      <c r="C494" s="257"/>
      <c r="D494" s="181">
        <f>PRODUCT(Лист1!G212,$A$260)</f>
        <v>52.6</v>
      </c>
      <c r="E494" s="473">
        <f>Лист1!H212</f>
        <v>3</v>
      </c>
      <c r="F494" s="459">
        <f t="shared" si="20"/>
        <v>157.80000000000001</v>
      </c>
      <c r="G494" s="179"/>
      <c r="H494" s="7"/>
      <c r="I494" s="7"/>
      <c r="J494" s="7"/>
      <c r="K494" s="152"/>
      <c r="L494" s="125"/>
      <c r="M494" s="153"/>
    </row>
    <row r="495" spans="1:13" ht="15.75" x14ac:dyDescent="0.25">
      <c r="A495" s="136" t="str">
        <f>патриотика!A456</f>
        <v>Саморез со сверлом</v>
      </c>
      <c r="B495" s="88" t="s">
        <v>91</v>
      </c>
      <c r="C495" s="257"/>
      <c r="D495" s="181">
        <f>PRODUCT(Лист1!G213,$A$260)</f>
        <v>65.75</v>
      </c>
      <c r="E495" s="473">
        <f>Лист1!H213</f>
        <v>3</v>
      </c>
      <c r="F495" s="459">
        <f t="shared" si="20"/>
        <v>197.25</v>
      </c>
      <c r="G495" s="179"/>
      <c r="H495" s="7"/>
      <c r="I495" s="7"/>
      <c r="J495" s="7"/>
      <c r="K495" s="152"/>
      <c r="L495" s="125"/>
      <c r="M495" s="153"/>
    </row>
    <row r="496" spans="1:13" ht="15.75" x14ac:dyDescent="0.25">
      <c r="A496" s="136" t="str">
        <f>патриотика!A457</f>
        <v>Гвозди 1 кг</v>
      </c>
      <c r="B496" s="88" t="s">
        <v>91</v>
      </c>
      <c r="C496" s="257"/>
      <c r="D496" s="181">
        <f>PRODUCT(Лист1!G214,$A$260)</f>
        <v>0.26300000000000001</v>
      </c>
      <c r="E496" s="473">
        <f>Лист1!H214</f>
        <v>110</v>
      </c>
      <c r="F496" s="459">
        <f t="shared" si="20"/>
        <v>28.93</v>
      </c>
      <c r="G496" s="179"/>
      <c r="H496" s="7"/>
      <c r="I496" s="7"/>
      <c r="J496" s="7"/>
      <c r="K496" s="152"/>
      <c r="L496" s="125"/>
      <c r="M496" s="153"/>
    </row>
    <row r="497" spans="1:13" ht="15.75" x14ac:dyDescent="0.25">
      <c r="A497" s="136" t="str">
        <f>патриотика!A458</f>
        <v>гвозди строит</v>
      </c>
      <c r="B497" s="88" t="s">
        <v>91</v>
      </c>
      <c r="C497" s="257"/>
      <c r="D497" s="181">
        <f>PRODUCT(Лист1!G215,$A$260)</f>
        <v>0.52600000000000002</v>
      </c>
      <c r="E497" s="473">
        <f>Лист1!H215</f>
        <v>100</v>
      </c>
      <c r="F497" s="459">
        <f t="shared" si="20"/>
        <v>52.6</v>
      </c>
      <c r="G497" s="179"/>
      <c r="H497" s="7"/>
      <c r="I497" s="7"/>
      <c r="J497" s="7"/>
      <c r="K497" s="152"/>
      <c r="L497" s="125"/>
      <c r="M497" s="153"/>
    </row>
    <row r="498" spans="1:13" ht="15.75" x14ac:dyDescent="0.25">
      <c r="A498" s="136" t="str">
        <f>патриотика!A459</f>
        <v>гвозди строит</v>
      </c>
      <c r="B498" s="88" t="s">
        <v>91</v>
      </c>
      <c r="C498" s="257"/>
      <c r="D498" s="181">
        <f>PRODUCT(Лист1!G216,$A$260)</f>
        <v>0.52600000000000002</v>
      </c>
      <c r="E498" s="473">
        <f>Лист1!H216</f>
        <v>114</v>
      </c>
      <c r="F498" s="459">
        <f t="shared" si="20"/>
        <v>59.964000000000006</v>
      </c>
      <c r="G498" s="179"/>
      <c r="H498" s="7"/>
      <c r="I498" s="7"/>
      <c r="J498" s="7"/>
      <c r="K498" s="152"/>
      <c r="L498" s="125"/>
      <c r="M498" s="153"/>
    </row>
    <row r="499" spans="1:13" ht="15.75" x14ac:dyDescent="0.25">
      <c r="A499" s="136" t="str">
        <f>патриотика!A460</f>
        <v>Помпа дополнительная</v>
      </c>
      <c r="B499" s="88" t="s">
        <v>91</v>
      </c>
      <c r="C499" s="257"/>
      <c r="D499" s="181">
        <f>PRODUCT(Лист1!G217,$A$260)</f>
        <v>0.26300000000000001</v>
      </c>
      <c r="E499" s="473">
        <f>Лист1!H217</f>
        <v>1050</v>
      </c>
      <c r="F499" s="459">
        <f t="shared" si="20"/>
        <v>276.15000000000003</v>
      </c>
      <c r="G499" s="179"/>
      <c r="H499" s="7"/>
      <c r="I499" s="7"/>
      <c r="J499" s="7"/>
      <c r="K499" s="152"/>
      <c r="L499" s="125"/>
      <c r="M499" s="153"/>
    </row>
    <row r="500" spans="1:13" ht="15.75" x14ac:dyDescent="0.25">
      <c r="A500" s="136" t="str">
        <f>патриотика!A461</f>
        <v>уголок крепежный</v>
      </c>
      <c r="B500" s="88" t="s">
        <v>91</v>
      </c>
      <c r="C500" s="257"/>
      <c r="D500" s="181">
        <f>PRODUCT(Лист1!G218,$A$260)</f>
        <v>2.63</v>
      </c>
      <c r="E500" s="473">
        <f>Лист1!H218</f>
        <v>17</v>
      </c>
      <c r="F500" s="459">
        <f t="shared" si="20"/>
        <v>44.71</v>
      </c>
      <c r="G500" s="179"/>
      <c r="H500" s="7"/>
      <c r="I500" s="7"/>
      <c r="J500" s="7"/>
      <c r="K500" s="152"/>
      <c r="L500" s="125"/>
      <c r="M500" s="153"/>
    </row>
    <row r="501" spans="1:13" ht="15.75" x14ac:dyDescent="0.25">
      <c r="A501" s="136" t="str">
        <f>патриотика!A462</f>
        <v>саморез</v>
      </c>
      <c r="B501" s="88" t="s">
        <v>91</v>
      </c>
      <c r="C501" s="257"/>
      <c r="D501" s="181">
        <f>PRODUCT(Лист1!G219,$A$260)</f>
        <v>115.72</v>
      </c>
      <c r="E501" s="473">
        <f>Лист1!H219</f>
        <v>1</v>
      </c>
      <c r="F501" s="459">
        <f t="shared" si="20"/>
        <v>115.72</v>
      </c>
      <c r="G501" s="179"/>
      <c r="H501" s="7"/>
      <c r="I501" s="7"/>
      <c r="J501" s="7"/>
      <c r="K501" s="152"/>
      <c r="L501" s="125"/>
      <c r="M501" s="153"/>
    </row>
    <row r="502" spans="1:13" ht="15.75" x14ac:dyDescent="0.25">
      <c r="A502" s="136" t="str">
        <f>патриотика!A463</f>
        <v>гвозди строит</v>
      </c>
      <c r="B502" s="88" t="s">
        <v>91</v>
      </c>
      <c r="C502" s="257"/>
      <c r="D502" s="181">
        <f>PRODUCT(Лист1!G220,$A$260)</f>
        <v>0.52600000000000002</v>
      </c>
      <c r="E502" s="473">
        <f>Лист1!H220</f>
        <v>100</v>
      </c>
      <c r="F502" s="459">
        <f t="shared" si="20"/>
        <v>52.6</v>
      </c>
      <c r="G502" s="179"/>
      <c r="H502" s="7"/>
      <c r="I502" s="7"/>
      <c r="J502" s="7"/>
      <c r="K502" s="152"/>
      <c r="L502" s="125"/>
      <c r="M502" s="153"/>
    </row>
    <row r="503" spans="1:13" ht="15.75" x14ac:dyDescent="0.25">
      <c r="A503" s="136" t="str">
        <f>патриотика!A464</f>
        <v>стяжка для проводов</v>
      </c>
      <c r="B503" s="88" t="s">
        <v>91</v>
      </c>
      <c r="C503" s="257"/>
      <c r="D503" s="181">
        <f>PRODUCT(Лист1!G221,$A$260)</f>
        <v>0.26300000000000001</v>
      </c>
      <c r="E503" s="473">
        <f>Лист1!H221</f>
        <v>194</v>
      </c>
      <c r="F503" s="459">
        <f t="shared" si="20"/>
        <v>51.022000000000006</v>
      </c>
      <c r="G503" s="179"/>
      <c r="H503" s="7"/>
      <c r="I503" s="7"/>
      <c r="J503" s="7"/>
      <c r="K503" s="152"/>
      <c r="L503" s="125"/>
      <c r="M503" s="153"/>
    </row>
    <row r="504" spans="1:13" ht="15.75" x14ac:dyDescent="0.25">
      <c r="A504" s="136" t="str">
        <f>патриотика!A465</f>
        <v>стяжка для проводов</v>
      </c>
      <c r="B504" s="88" t="s">
        <v>91</v>
      </c>
      <c r="C504" s="257"/>
      <c r="D504" s="181">
        <f>PRODUCT(Лист1!G222,$A$260)</f>
        <v>0.26300000000000001</v>
      </c>
      <c r="E504" s="473">
        <f>Лист1!H222</f>
        <v>41</v>
      </c>
      <c r="F504" s="459">
        <f t="shared" si="20"/>
        <v>10.783000000000001</v>
      </c>
      <c r="G504" s="179"/>
      <c r="H504" s="7"/>
      <c r="I504" s="7"/>
      <c r="J504" s="7"/>
      <c r="K504" s="152"/>
      <c r="L504" s="125"/>
      <c r="M504" s="153"/>
    </row>
    <row r="505" spans="1:13" ht="15.75" x14ac:dyDescent="0.25">
      <c r="A505" s="136" t="str">
        <f>патриотика!A466</f>
        <v>гвозди строит</v>
      </c>
      <c r="B505" s="88" t="s">
        <v>91</v>
      </c>
      <c r="C505" s="257"/>
      <c r="D505" s="181">
        <f>PRODUCT(Лист1!G223,$A$260)</f>
        <v>5.26</v>
      </c>
      <c r="E505" s="473">
        <f>Лист1!H223</f>
        <v>194.48</v>
      </c>
      <c r="F505" s="459">
        <f t="shared" si="20"/>
        <v>1022.9647999999999</v>
      </c>
      <c r="G505" s="179"/>
      <c r="H505" s="7"/>
      <c r="I505" s="7"/>
      <c r="J505" s="7"/>
      <c r="K505" s="152"/>
      <c r="L505" s="125"/>
      <c r="M505" s="153"/>
    </row>
    <row r="506" spans="1:13" ht="15.75" x14ac:dyDescent="0.25">
      <c r="A506" s="136" t="str">
        <f>патриотика!A467</f>
        <v>Стойки, втулки Хёндай</v>
      </c>
      <c r="B506" s="88" t="s">
        <v>91</v>
      </c>
      <c r="C506" s="257"/>
      <c r="D506" s="181">
        <f>PRODUCT(Лист1!G224,$A$260)</f>
        <v>0.26300000000000001</v>
      </c>
      <c r="E506" s="473">
        <f>Лист1!H224</f>
        <v>12000</v>
      </c>
      <c r="F506" s="459">
        <f t="shared" si="20"/>
        <v>3156</v>
      </c>
      <c r="G506" s="179"/>
      <c r="H506" s="7"/>
      <c r="I506" s="7"/>
      <c r="J506" s="7"/>
      <c r="K506" s="152"/>
      <c r="L506" s="125"/>
      <c r="M506" s="153"/>
    </row>
    <row r="507" spans="1:13" ht="15.75" x14ac:dyDescent="0.25">
      <c r="A507" s="136" t="str">
        <f>патриотика!A468</f>
        <v xml:space="preserve">хозяйственно-бытовые товары </v>
      </c>
      <c r="B507" s="88" t="s">
        <v>91</v>
      </c>
      <c r="C507" s="257"/>
      <c r="D507" s="181">
        <f>PRODUCT(Лист1!G225,$A$260)</f>
        <v>0.26300000000000001</v>
      </c>
      <c r="E507" s="473">
        <f>Лист1!H225</f>
        <v>27000</v>
      </c>
      <c r="F507" s="459">
        <f t="shared" si="20"/>
        <v>7101</v>
      </c>
      <c r="G507" s="179"/>
      <c r="H507" s="7"/>
      <c r="I507" s="7"/>
      <c r="J507" s="7"/>
      <c r="K507" s="152"/>
      <c r="L507" s="125"/>
      <c r="M507" s="153"/>
    </row>
    <row r="508" spans="1:13" ht="15.75" x14ac:dyDescent="0.25">
      <c r="A508" s="136" t="str">
        <f>патриотика!A469</f>
        <v>антифриз для УАЗ</v>
      </c>
      <c r="B508" s="88" t="s">
        <v>91</v>
      </c>
      <c r="C508" s="257"/>
      <c r="D508" s="181">
        <f>PRODUCT(Лист1!G226,$A$260)</f>
        <v>0.26300000000000001</v>
      </c>
      <c r="E508" s="473">
        <f>Лист1!H226</f>
        <v>1000</v>
      </c>
      <c r="F508" s="459">
        <f t="shared" si="20"/>
        <v>263</v>
      </c>
      <c r="G508" s="179"/>
      <c r="H508" s="7"/>
      <c r="I508" s="7"/>
      <c r="J508" s="7"/>
      <c r="K508" s="152"/>
      <c r="L508" s="125"/>
      <c r="M508" s="153"/>
    </row>
    <row r="509" spans="1:13" ht="18.75" x14ac:dyDescent="0.25">
      <c r="A509" s="684" t="s">
        <v>31</v>
      </c>
      <c r="B509" s="722"/>
      <c r="C509" s="722"/>
      <c r="D509" s="722"/>
      <c r="E509" s="685"/>
      <c r="F509" s="431">
        <f>SUM(F264:F508)</f>
        <v>205705.71299999996</v>
      </c>
      <c r="G509" s="179"/>
      <c r="H509" s="7"/>
      <c r="I509" s="7"/>
      <c r="J509" s="7"/>
    </row>
    <row r="510" spans="1:13" ht="15.75" x14ac:dyDescent="0.25">
      <c r="A510" s="7"/>
      <c r="B510" s="7"/>
      <c r="C510" s="7"/>
      <c r="D510" s="7"/>
      <c r="E510" s="179"/>
      <c r="F510" s="7"/>
      <c r="G510" s="179"/>
      <c r="H510" s="7"/>
      <c r="I510" s="7"/>
      <c r="J510" s="7"/>
    </row>
    <row r="511" spans="1:13" ht="15.75" x14ac:dyDescent="0.25">
      <c r="A511" s="7"/>
      <c r="B511" s="7"/>
      <c r="C511" s="7"/>
      <c r="D511" s="7"/>
      <c r="E511" s="7"/>
      <c r="F511" s="7"/>
    </row>
  </sheetData>
  <autoFilter ref="A262:J424" xr:uid="{00000000-0009-0000-0000-000007000000}"/>
  <mergeCells count="149">
    <mergeCell ref="B161:C161"/>
    <mergeCell ref="D158:F158"/>
    <mergeCell ref="A157:H157"/>
    <mergeCell ref="A158:A160"/>
    <mergeCell ref="B158:C160"/>
    <mergeCell ref="D159:D160"/>
    <mergeCell ref="E159:E160"/>
    <mergeCell ref="F159:F160"/>
    <mergeCell ref="A1:J1"/>
    <mergeCell ref="E136:E137"/>
    <mergeCell ref="F136:F137"/>
    <mergeCell ref="E45:E46"/>
    <mergeCell ref="F45:F46"/>
    <mergeCell ref="B3:J3"/>
    <mergeCell ref="G19:G21"/>
    <mergeCell ref="J19:J21"/>
    <mergeCell ref="A22:A23"/>
    <mergeCell ref="B22:B23"/>
    <mergeCell ref="D22:D23"/>
    <mergeCell ref="E22:E23"/>
    <mergeCell ref="F22:F23"/>
    <mergeCell ref="G22:G23"/>
    <mergeCell ref="J22:J23"/>
    <mergeCell ref="A19:A21"/>
    <mergeCell ref="A509:E509"/>
    <mergeCell ref="A211:F211"/>
    <mergeCell ref="A258:E258"/>
    <mergeCell ref="A259:F259"/>
    <mergeCell ref="A260:F260"/>
    <mergeCell ref="A261:A262"/>
    <mergeCell ref="B261:B262"/>
    <mergeCell ref="D261:D262"/>
    <mergeCell ref="E261:E262"/>
    <mergeCell ref="F261:F262"/>
    <mergeCell ref="G214:G215"/>
    <mergeCell ref="A219:F219"/>
    <mergeCell ref="A220:F220"/>
    <mergeCell ref="A222:A223"/>
    <mergeCell ref="B222:B223"/>
    <mergeCell ref="D222:D223"/>
    <mergeCell ref="F201:F202"/>
    <mergeCell ref="A179:E179"/>
    <mergeCell ref="E222:E223"/>
    <mergeCell ref="F222:F223"/>
    <mergeCell ref="A214:A215"/>
    <mergeCell ref="B214:B215"/>
    <mergeCell ref="D214:D215"/>
    <mergeCell ref="E214:E215"/>
    <mergeCell ref="F214:F215"/>
    <mergeCell ref="A195:B195"/>
    <mergeCell ref="A196:B196"/>
    <mergeCell ref="A198:B198"/>
    <mergeCell ref="A212:F212"/>
    <mergeCell ref="G201:G202"/>
    <mergeCell ref="A191:B192"/>
    <mergeCell ref="D191:D192"/>
    <mergeCell ref="G191:G192"/>
    <mergeCell ref="A193:B193"/>
    <mergeCell ref="A194:B194"/>
    <mergeCell ref="A170:A171"/>
    <mergeCell ref="B170:B171"/>
    <mergeCell ref="D170:D171"/>
    <mergeCell ref="E170:E171"/>
    <mergeCell ref="F170:F171"/>
    <mergeCell ref="A199:F199"/>
    <mergeCell ref="A201:A202"/>
    <mergeCell ref="B201:B202"/>
    <mergeCell ref="D201:D202"/>
    <mergeCell ref="E201:E202"/>
    <mergeCell ref="A188:F188"/>
    <mergeCell ref="B19:B21"/>
    <mergeCell ref="D19:D21"/>
    <mergeCell ref="E19:F19"/>
    <mergeCell ref="F20:F21"/>
    <mergeCell ref="A168:E168"/>
    <mergeCell ref="A134:F134"/>
    <mergeCell ref="A136:B137"/>
    <mergeCell ref="D136:D137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140:B140"/>
    <mergeCell ref="A142:B142"/>
    <mergeCell ref="A141:B141"/>
    <mergeCell ref="B148:C148"/>
    <mergeCell ref="A48:B48"/>
    <mergeCell ref="A138:B138"/>
    <mergeCell ref="A139:B139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B31:C31"/>
    <mergeCell ref="B33:C33"/>
    <mergeCell ref="B34:C34"/>
    <mergeCell ref="A143:F143"/>
    <mergeCell ref="G45:G46"/>
    <mergeCell ref="H136:H137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57:B57"/>
    <mergeCell ref="A133:B133"/>
    <mergeCell ref="G136:G137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J14"/>
    <mergeCell ref="A144:H144"/>
    <mergeCell ref="A145:A147"/>
    <mergeCell ref="B145:C147"/>
    <mergeCell ref="D145:H145"/>
    <mergeCell ref="D146:D147"/>
    <mergeCell ref="E146:E147"/>
    <mergeCell ref="F146:F147"/>
    <mergeCell ref="G146:G147"/>
    <mergeCell ref="H146:H147"/>
  </mergeCells>
  <printOptions horizontalCentered="1" verticalCentered="1"/>
  <pageMargins left="0.70866141732283472" right="0.31496062992125984" top="0.55118110236220474" bottom="0.55118110236220474" header="0" footer="0"/>
  <pageSetup paperSize="9" scale="38" fitToHeight="4" orientation="portrait" r:id="rId1"/>
  <rowBreaks count="3" manualBreakCount="3">
    <brk id="133" max="9" man="1"/>
    <brk id="211" max="8" man="1"/>
    <brk id="325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48" t="s">
        <v>77</v>
      </c>
      <c r="B1" s="748"/>
      <c r="C1" s="748"/>
      <c r="D1" s="748"/>
      <c r="E1" s="748"/>
      <c r="F1" s="748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65</v>
      </c>
      <c r="B3" s="15" t="s">
        <v>2</v>
      </c>
      <c r="C3" s="15" t="s">
        <v>66</v>
      </c>
      <c r="D3" s="15" t="s">
        <v>67</v>
      </c>
      <c r="E3" s="14" t="s">
        <v>68</v>
      </c>
      <c r="F3" s="15" t="s">
        <v>69</v>
      </c>
      <c r="G3" s="14" t="s">
        <v>70</v>
      </c>
      <c r="H3" s="14" t="s">
        <v>71</v>
      </c>
      <c r="I3" s="26" t="s">
        <v>72</v>
      </c>
    </row>
    <row r="4" spans="1:9" ht="15.75" x14ac:dyDescent="0.25">
      <c r="A4" s="16" t="s">
        <v>78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79</v>
      </c>
    </row>
    <row r="18" spans="1:9" x14ac:dyDescent="0.25">
      <c r="B18">
        <v>131569.758</v>
      </c>
      <c r="E18" t="s">
        <v>80</v>
      </c>
      <c r="F18" s="1">
        <v>63000</v>
      </c>
      <c r="H18">
        <v>277896</v>
      </c>
      <c r="I18" s="36" t="s">
        <v>81</v>
      </c>
    </row>
    <row r="19" spans="1:9" x14ac:dyDescent="0.25">
      <c r="E19" t="s">
        <v>82</v>
      </c>
      <c r="F19" s="1">
        <v>86158</v>
      </c>
      <c r="I19" t="s">
        <v>83</v>
      </c>
    </row>
    <row r="20" spans="1:9" x14ac:dyDescent="0.25">
      <c r="E20" t="s">
        <v>84</v>
      </c>
      <c r="F20" s="1">
        <f>F19-F18</f>
        <v>23158</v>
      </c>
      <c r="H20" s="28">
        <f>H17+H18+H19</f>
        <v>5487986.7800000003</v>
      </c>
      <c r="I20" t="s">
        <v>61</v>
      </c>
    </row>
    <row r="21" spans="1:9" x14ac:dyDescent="0.25">
      <c r="E21" t="s">
        <v>85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</vt:lpstr>
      <vt:lpstr>Лист1</vt:lpstr>
      <vt:lpstr>натур показатели патриотика</vt:lpstr>
      <vt:lpstr>патриотика</vt:lpstr>
      <vt:lpstr>натур показатели таланты+инициа</vt:lpstr>
      <vt:lpstr>таланты+инициативы</vt:lpstr>
      <vt:lpstr>Лист3</vt:lpstr>
      <vt:lpstr>затраты!Область_печати</vt:lpstr>
      <vt:lpstr>'инновации+добровольчество'!Область_печати</vt:lpstr>
      <vt:lpstr>патриотика!Область_печати</vt:lpstr>
      <vt:lpstr>'таланты+инициативы'!Область_печати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2019-12-03T10:32:03Z</dcterms:modified>
</cp:coreProperties>
</file>